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14940" windowHeight="8580" activeTab="0"/>
  </bookViews>
  <sheets>
    <sheet name="Sheet 1" sheetId="1" r:id="rId1"/>
  </sheets>
  <definedNames>
    <definedName name="_xlnm.Print_Area" localSheetId="0">'Sheet 1'!$D$2:$AE$23</definedName>
  </definedNames>
  <calcPr fullCalcOnLoad="1"/>
</workbook>
</file>

<file path=xl/sharedStrings.xml><?xml version="1.0" encoding="utf-8"?>
<sst xmlns="http://schemas.openxmlformats.org/spreadsheetml/2006/main" count="522" uniqueCount="251">
  <si>
    <t>ST</t>
  </si>
  <si>
    <t>MVP</t>
  </si>
  <si>
    <t>Value</t>
  </si>
  <si>
    <t>RACE</t>
  </si>
  <si>
    <t>#</t>
  </si>
  <si>
    <t>Player Type/name</t>
  </si>
  <si>
    <t>Cost</t>
  </si>
  <si>
    <t>Race/type nr.</t>
  </si>
  <si>
    <t>Race</t>
  </si>
  <si>
    <t>Qty</t>
  </si>
  <si>
    <t>Teams</t>
  </si>
  <si>
    <t>Players</t>
  </si>
  <si>
    <t>Value mod.</t>
  </si>
  <si>
    <t>SP</t>
  </si>
  <si>
    <t>SK</t>
  </si>
  <si>
    <t>ARM</t>
  </si>
  <si>
    <t>Marauders</t>
  </si>
  <si>
    <t>Corporation 1</t>
  </si>
  <si>
    <t>Corporation 2</t>
  </si>
  <si>
    <t>Marauders 1</t>
  </si>
  <si>
    <t>Marauders 2</t>
  </si>
  <si>
    <t>MV</t>
  </si>
  <si>
    <t>SPARE5</t>
  </si>
  <si>
    <t>Forge Father 1</t>
  </si>
  <si>
    <t>Forge Father 2</t>
  </si>
  <si>
    <t>Forge Father 3</t>
  </si>
  <si>
    <t>Robot 1</t>
  </si>
  <si>
    <t>Z'Zor 1</t>
  </si>
  <si>
    <t>Z'Zor 2</t>
  </si>
  <si>
    <t>Steady</t>
  </si>
  <si>
    <t>Can't Feel A Thing</t>
  </si>
  <si>
    <t>Running Interference</t>
  </si>
  <si>
    <t>Extra XP</t>
  </si>
  <si>
    <t>XP</t>
  </si>
  <si>
    <t>Really Lucky</t>
  </si>
  <si>
    <t>Rank</t>
  </si>
  <si>
    <t>Roll</t>
  </si>
  <si>
    <t>Jump</t>
  </si>
  <si>
    <t>Backflip</t>
  </si>
  <si>
    <t>Does This Hurt?</t>
  </si>
  <si>
    <t>Keeper</t>
  </si>
  <si>
    <t>Lucky</t>
  </si>
  <si>
    <t>Grizzled</t>
  </si>
  <si>
    <t>Show Off</t>
  </si>
  <si>
    <t>Misdirect</t>
  </si>
  <si>
    <t>Stretch</t>
  </si>
  <si>
    <t>Alert</t>
  </si>
  <si>
    <t>Slide</t>
  </si>
  <si>
    <t>Quick Recovery</t>
  </si>
  <si>
    <t>360 Vision</t>
  </si>
  <si>
    <t>Duck &amp; Weave</t>
  </si>
  <si>
    <t>3 Pt</t>
  </si>
  <si>
    <t>4 Pt</t>
  </si>
  <si>
    <t>Injury</t>
  </si>
  <si>
    <t>Kill</t>
  </si>
  <si>
    <r>
      <t xml:space="preserve">Injuries   </t>
    </r>
    <r>
      <rPr>
        <sz val="6"/>
        <rFont val="Calibri"/>
        <family val="2"/>
      </rPr>
      <t xml:space="preserve">  ST  SP  SK</t>
    </r>
  </si>
  <si>
    <t>STAR?</t>
  </si>
  <si>
    <t>STRENGTH</t>
  </si>
  <si>
    <t>SPEED</t>
  </si>
  <si>
    <t>SKILL</t>
  </si>
  <si>
    <t>A Safe Pair Of Hands</t>
  </si>
  <si>
    <t>L</t>
  </si>
  <si>
    <t>Cards</t>
  </si>
  <si>
    <t>Dice</t>
  </si>
  <si>
    <t>Veer-Myn 1</t>
  </si>
  <si>
    <t>Veer-Myn 2</t>
  </si>
  <si>
    <t>Calculation used for Keeper Error</t>
  </si>
  <si>
    <t>Enforcers</t>
  </si>
  <si>
    <t>Enforcer</t>
  </si>
  <si>
    <t>Assault Enforcer</t>
  </si>
  <si>
    <t>Enforcer with Fusion Gun</t>
  </si>
  <si>
    <t>Enforcer with Burst Laser</t>
  </si>
  <si>
    <t>Enforcer Engineer</t>
  </si>
  <si>
    <t>Enforcer with Flamethrower</t>
  </si>
  <si>
    <t>Enforcer with Missile Launcher</t>
  </si>
  <si>
    <t>Enforcer Defender</t>
  </si>
  <si>
    <t>Enforcer with Thermal Rifle</t>
  </si>
  <si>
    <t>Enforcer Medic</t>
  </si>
  <si>
    <t>Enforcer Sniper</t>
  </si>
  <si>
    <t>Enforcer Sergeant</t>
  </si>
  <si>
    <t>Enforcer Peacekeeper Captain</t>
  </si>
  <si>
    <t>Shoot</t>
  </si>
  <si>
    <t>Fight</t>
  </si>
  <si>
    <t>Survive</t>
  </si>
  <si>
    <t>Armour</t>
  </si>
  <si>
    <t>Command</t>
  </si>
  <si>
    <t>Size</t>
  </si>
  <si>
    <t>1-1</t>
  </si>
  <si>
    <t>2-1</t>
  </si>
  <si>
    <t>2-2</t>
  </si>
  <si>
    <t>3-3</t>
  </si>
  <si>
    <t>Overwatch</t>
  </si>
  <si>
    <t>Abilities</t>
  </si>
  <si>
    <t>Weapons &amp; Equipment</t>
  </si>
  <si>
    <t>Shoot, Blaze Away</t>
  </si>
  <si>
    <t xml:space="preserve">Discipline </t>
  </si>
  <si>
    <t>Heavy Rifle, Jump Pack</t>
  </si>
  <si>
    <t>Move, Shoot</t>
  </si>
  <si>
    <t>Brawler</t>
  </si>
  <si>
    <t>Pistol, Wristblade, Jump Pack</t>
  </si>
  <si>
    <t xml:space="preserve">Shoot </t>
  </si>
  <si>
    <t>Fusion Gun, Jump Pack</t>
  </si>
  <si>
    <t>Blaze Away</t>
  </si>
  <si>
    <t>Burst Laser, Pistol, Jump Pack</t>
  </si>
  <si>
    <t xml:space="preserve">Discipline, Engineer </t>
  </si>
  <si>
    <t>Flamethrower, Pistol, Jump Pack</t>
  </si>
  <si>
    <t>Missile Launcher, Pistol, Jump Pack</t>
  </si>
  <si>
    <t>Combat Shotgun, Defender Shield, Jump Pack</t>
  </si>
  <si>
    <t>Thermal Rifle, Jump Pack</t>
  </si>
  <si>
    <t>Discipline, Medic</t>
  </si>
  <si>
    <t>Pistol, Jump Pack</t>
  </si>
  <si>
    <t>Discipline, Sniper</t>
  </si>
  <si>
    <t>Sniper Rifle, Pistol, Jump Pack</t>
  </si>
  <si>
    <t>Any</t>
  </si>
  <si>
    <t>Discipline, Tactician</t>
  </si>
  <si>
    <t>Pistol, Energy Gauntlet, Jump Pack</t>
  </si>
  <si>
    <t>Discipline, Strategist, Tough</t>
  </si>
  <si>
    <t>PX Pistol, Grenade Launcher, Wristblade</t>
  </si>
  <si>
    <t>Type</t>
  </si>
  <si>
    <t>S</t>
  </si>
  <si>
    <t>R</t>
  </si>
  <si>
    <t>Total Troops</t>
  </si>
  <si>
    <t>Total Leaders</t>
  </si>
  <si>
    <t>Total Specialists</t>
  </si>
  <si>
    <t>Total Rare</t>
  </si>
  <si>
    <t>Total Unique</t>
  </si>
  <si>
    <t>T</t>
  </si>
  <si>
    <t>Total, S, U, R</t>
  </si>
  <si>
    <t>Issue</t>
  </si>
  <si>
    <t>In Strike Team</t>
  </si>
  <si>
    <t>Absent</t>
  </si>
  <si>
    <t>Save</t>
  </si>
  <si>
    <t>Ammo</t>
  </si>
  <si>
    <t>AP Ammo</t>
  </si>
  <si>
    <t>Frag Grenade</t>
  </si>
  <si>
    <t>Sentry Gun</t>
  </si>
  <si>
    <t>Name</t>
  </si>
  <si>
    <t>Model</t>
  </si>
  <si>
    <t>Item Costing</t>
  </si>
  <si>
    <t>Item Costs</t>
  </si>
  <si>
    <t>Items Upgrades</t>
  </si>
  <si>
    <t>Plague</t>
  </si>
  <si>
    <t>Rebs</t>
  </si>
  <si>
    <t>TBC</t>
  </si>
  <si>
    <t>Stage 3D Hellhounds</t>
  </si>
  <si>
    <t>Stage 3A</t>
  </si>
  <si>
    <t>Stage 3A HMG</t>
  </si>
  <si>
    <t>Stage 3A Boomstick</t>
  </si>
  <si>
    <t>Stage 2A</t>
  </si>
  <si>
    <t>Stage 3A “General”</t>
  </si>
  <si>
    <t>Mortar Team</t>
  </si>
  <si>
    <t>Plague Swarm</t>
  </si>
  <si>
    <t>Stage 1A</t>
  </si>
  <si>
    <t>Teraton</t>
  </si>
  <si>
    <t>Survey Drone</t>
  </si>
  <si>
    <t>Zee Scavenger</t>
  </si>
  <si>
    <t>Rebel Human</t>
  </si>
  <si>
    <t>Kraaw Warrior</t>
  </si>
  <si>
    <t xml:space="preserve">Rebel Yndij </t>
  </si>
  <si>
    <t xml:space="preserve">Rebel Sorak </t>
  </si>
  <si>
    <t>Rebel Yndij sergeant</t>
  </si>
  <si>
    <t>Judwan Medic</t>
  </si>
  <si>
    <t>Grogan with Onslaught Cannon</t>
  </si>
  <si>
    <t>Grogan wih Desolator</t>
  </si>
  <si>
    <t>TK-Zero Weapons team</t>
  </si>
  <si>
    <t>Rebel Commander</t>
  </si>
  <si>
    <t>Commando</t>
  </si>
  <si>
    <t xml:space="preserve">Mawbeast </t>
  </si>
  <si>
    <t>Goblin Sniper</t>
  </si>
  <si>
    <t>Commando Pyro</t>
  </si>
  <si>
    <t>Mawbeast Bomber</t>
  </si>
  <si>
    <t>Commando Sergeant</t>
  </si>
  <si>
    <t>Goblin Guntrack (Mortar)</t>
  </si>
  <si>
    <t>Commando Captain</t>
  </si>
  <si>
    <t>Goblin Guntrack (HEW)</t>
  </si>
  <si>
    <t>Marauder Warlord</t>
  </si>
  <si>
    <t>Ripper Suit “Mauler”</t>
  </si>
  <si>
    <t>Ripper Suit “Rainmaker”</t>
  </si>
  <si>
    <t>Stuntbot</t>
  </si>
  <si>
    <t>Marauder Hulk</t>
  </si>
  <si>
    <t>-</t>
  </si>
  <si>
    <t>3-2</t>
  </si>
  <si>
    <t>Rifle</t>
  </si>
  <si>
    <t>Sprint</t>
  </si>
  <si>
    <t>Fast</t>
  </si>
  <si>
    <t>Chainmaw</t>
  </si>
  <si>
    <t>Sniper</t>
  </si>
  <si>
    <t>Sniper Rifle</t>
  </si>
  <si>
    <t>Flamethrower, Pistol</t>
  </si>
  <si>
    <t>Move</t>
  </si>
  <si>
    <t>Fast, BOOM!</t>
  </si>
  <si>
    <t>Tactician, Brawler</t>
  </si>
  <si>
    <t>Pistol</t>
  </si>
  <si>
    <t>Throw Grenade</t>
  </si>
  <si>
    <t>Vehicle (4), Slow</t>
  </si>
  <si>
    <t>Heavy Mortar</t>
  </si>
  <si>
    <t>Strategist</t>
  </si>
  <si>
    <t>HEW Cannon</t>
  </si>
  <si>
    <t>Tactician, Tough</t>
  </si>
  <si>
    <t>Heavy pistol, Claws</t>
  </si>
  <si>
    <t>Brawler, Tactician, spotter, Solid</t>
  </si>
  <si>
    <t>Buzzsaw, Ram</t>
  </si>
  <si>
    <t>Gun Crazy, Spotter, Solid</t>
  </si>
  <si>
    <t>Rotary Cannon, HEW Beamer, Frag Launchers, Rocket Salvo</t>
  </si>
  <si>
    <t>Vehicle (3), Scout,  Volatile</t>
  </si>
  <si>
    <t>Buzz, Flamethrower, HEW Beamer</t>
  </si>
  <si>
    <t>Tough</t>
  </si>
  <si>
    <t>Agile, Hover, Spotter,Vulnerable</t>
  </si>
  <si>
    <t>Scavenger</t>
  </si>
  <si>
    <t>Any Short</t>
  </si>
  <si>
    <t>Move, Blaze  Away</t>
  </si>
  <si>
    <t>Scout, Glide</t>
  </si>
  <si>
    <t>Combat Blade, Wrist Blaster</t>
  </si>
  <si>
    <t xml:space="preserve">Agile </t>
  </si>
  <si>
    <t>Blaster</t>
  </si>
  <si>
    <t>Agile. Tactician</t>
  </si>
  <si>
    <t>Non-combatant, Medic</t>
  </si>
  <si>
    <t>Energy Shield [3]</t>
  </si>
  <si>
    <t>Onslaught Cannon</t>
  </si>
  <si>
    <t>Desolator</t>
  </si>
  <si>
    <t>CSW, Marksman</t>
  </si>
  <si>
    <t>TK-Zero</t>
  </si>
  <si>
    <t xml:space="preserve">Any   </t>
  </si>
  <si>
    <t>Strategist, Marksman</t>
  </si>
  <si>
    <t>Sniper Rifle, Energy Shield [3], Pistol</t>
  </si>
  <si>
    <t>Teleport, Brawler, Tough</t>
  </si>
  <si>
    <t>Ceremonial Blades, Grenade Launcher, Hand Flamer</t>
  </si>
  <si>
    <t>Teraton (Plague)</t>
  </si>
  <si>
    <t>5</t>
  </si>
  <si>
    <t>6</t>
  </si>
  <si>
    <t>Mutant, Fast</t>
  </si>
  <si>
    <t>Fangs</t>
  </si>
  <si>
    <t>1</t>
  </si>
  <si>
    <t>Move, Blaze Away</t>
  </si>
  <si>
    <t>Mutant</t>
  </si>
  <si>
    <t>Heavy Machine Gun</t>
  </si>
  <si>
    <t>Grenade Launcher</t>
  </si>
  <si>
    <t>4</t>
  </si>
  <si>
    <t>Mutant, Tough, Brawler, Rampage</t>
  </si>
  <si>
    <t>Talons</t>
  </si>
  <si>
    <t>Mutant, Tactician</t>
  </si>
  <si>
    <t>Mutant, CSW</t>
  </si>
  <si>
    <t>Mortar</t>
  </si>
  <si>
    <t>3</t>
  </si>
  <si>
    <t>Agile, Mutant, Really Tough</t>
  </si>
  <si>
    <t>Acidic Bite</t>
  </si>
  <si>
    <t>Mutant, Really Tough, Brawler, Slow, Strategist</t>
  </si>
  <si>
    <t>2</t>
  </si>
  <si>
    <t>Mutant, Really Tough, Brawler, Teleport</t>
  </si>
  <si>
    <t>Claws</t>
  </si>
  <si>
    <t>Item Upgrade</t>
  </si>
</sst>
</file>

<file path=xl/styles.xml><?xml version="1.0" encoding="utf-8"?>
<styleSheet xmlns="http://schemas.openxmlformats.org/spreadsheetml/2006/main">
  <numFmts count="4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* #,##0_ ;_ * \-#,##0_ ;_ * &quot;-&quot;_ ;_ @_ "/>
    <numFmt numFmtId="178" formatCode="_ &quot;kr&quot;\ * #,##0.00_ ;_ &quot;kr&quot;\ * \-#,##0.00_ ;_ &quot;kr&quot;\ * &quot;-&quot;??_ ;_ @_ "/>
    <numFmt numFmtId="179" formatCode="_ * #,##0.00_ ;_ * \-#,##0.00_ ;_ * &quot;-&quot;??_ ;_ @_ "/>
    <numFmt numFmtId="180" formatCode="#,##0\ &quot;kr&quot;;\-#,##0\ &quot;kr&quot;"/>
    <numFmt numFmtId="181" formatCode="#,##0\ &quot;kr&quot;;[Red]\-#,##0\ &quot;kr&quot;"/>
    <numFmt numFmtId="182" formatCode="#,##0.00\ &quot;kr&quot;;\-#,##0.00\ &quot;kr&quot;"/>
    <numFmt numFmtId="183" formatCode="#,##0.00\ &quot;kr&quot;;[Red]\-#,##0.00\ &quot;kr&quot;"/>
    <numFmt numFmtId="184" formatCode="_-* #,##0\ &quot;kr&quot;_-;\-* #,##0\ &quot;kr&quot;_-;_-* &quot;-&quot;\ &quot;kr&quot;_-;_-@_-"/>
    <numFmt numFmtId="185" formatCode="_-* #,##0\ _k_r_-;\-* #,##0\ _k_r_-;_-* &quot;-&quot;\ _k_r_-;_-@_-"/>
    <numFmt numFmtId="186" formatCode="_-* #,##0.00\ &quot;kr&quot;_-;\-* #,##0.00\ &quot;kr&quot;_-;_-* &quot;-&quot;??\ &quot;kr&quot;_-;_-@_-"/>
    <numFmt numFmtId="187" formatCode="_-* #,##0.00\ _k_r_-;\-* #,##0.00\ _k_r_-;_-* &quot;-&quot;??\ _k_r_-;_-@_-"/>
    <numFmt numFmtId="188" formatCode="0.0"/>
    <numFmt numFmtId="189" formatCode="&quot;Ja&quot;;&quot;Ja&quot;;&quot;Nej&quot;"/>
    <numFmt numFmtId="190" formatCode="&quot;Sand&quot;;&quot;Sand&quot;;&quot;Falsk&quot;"/>
    <numFmt numFmtId="191" formatCode="&quot;Til&quot;;&quot;Til&quot;;&quot;Fra&quot;"/>
    <numFmt numFmtId="192" formatCode="#,000"/>
    <numFmt numFmtId="193" formatCode="#\k"/>
    <numFmt numFmtId="194" formatCode="####"/>
    <numFmt numFmtId="195" formatCode="#"/>
  </numFmts>
  <fonts count="77">
    <font>
      <sz val="10"/>
      <name val="Arial"/>
      <family val="0"/>
    </font>
    <font>
      <sz val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7"/>
      <color indexed="63"/>
      <name val="Arial"/>
      <family val="2"/>
    </font>
    <font>
      <sz val="8"/>
      <color indexed="63"/>
      <name val="Arial"/>
      <family val="2"/>
    </font>
    <font>
      <sz val="6"/>
      <name val="Calibri"/>
      <family val="2"/>
    </font>
    <font>
      <b/>
      <sz val="10"/>
      <name val="Arial"/>
      <family val="2"/>
    </font>
    <font>
      <sz val="10"/>
      <name val="Calibri-Italic"/>
      <family val="4"/>
    </font>
    <font>
      <sz val="10"/>
      <name val="Calibri-Bold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4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7"/>
      <name val="Calibri"/>
      <family val="2"/>
    </font>
    <font>
      <sz val="7"/>
      <color indexed="47"/>
      <name val="Calibri"/>
      <family val="2"/>
    </font>
    <font>
      <sz val="6.5"/>
      <name val="Calibri"/>
      <family val="2"/>
    </font>
    <font>
      <sz val="8"/>
      <color indexed="9"/>
      <name val="Calibri"/>
      <family val="2"/>
    </font>
    <font>
      <sz val="7"/>
      <color indexed="9"/>
      <name val="Calibri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sz val="6"/>
      <color indexed="9"/>
      <name val="Arial"/>
      <family val="2"/>
    </font>
    <font>
      <b/>
      <sz val="8"/>
      <name val="Calibri"/>
      <family val="2"/>
    </font>
    <font>
      <sz val="10"/>
      <color indexed="60"/>
      <name val="Tahoma"/>
      <family val="2"/>
    </font>
    <font>
      <sz val="8.25"/>
      <color indexed="8"/>
      <name val="Times New Roman"/>
      <family val="1"/>
    </font>
    <font>
      <b/>
      <sz val="10"/>
      <color indexed="9"/>
      <name val="Arial"/>
      <family val="2"/>
    </font>
    <font>
      <sz val="10"/>
      <name val="Calibri"/>
      <family val="2"/>
    </font>
    <font>
      <sz val="8"/>
      <color indexed="63"/>
      <name val="Calibri"/>
      <family val="2"/>
    </font>
    <font>
      <sz val="6"/>
      <color indexed="63"/>
      <name val="Calibri"/>
      <family val="2"/>
    </font>
    <font>
      <sz val="7"/>
      <color indexed="23"/>
      <name val="Calibri"/>
      <family val="2"/>
    </font>
    <font>
      <u val="single"/>
      <sz val="7"/>
      <color indexed="23"/>
      <name val="Calibri"/>
      <family val="2"/>
    </font>
    <font>
      <sz val="7"/>
      <color indexed="63"/>
      <name val="Calibri"/>
      <family val="2"/>
    </font>
    <font>
      <sz val="6"/>
      <color indexed="23"/>
      <name val="Calibri"/>
      <family val="2"/>
    </font>
    <font>
      <sz val="6.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0"/>
      <name val="Calibri"/>
      <family val="2"/>
    </font>
    <font>
      <sz val="7"/>
      <color theme="0"/>
      <name val="Calibri"/>
      <family val="2"/>
    </font>
    <font>
      <sz val="8"/>
      <color theme="0"/>
      <name val="Arial"/>
      <family val="2"/>
    </font>
    <font>
      <sz val="10"/>
      <color theme="0"/>
      <name val="Arial"/>
      <family val="2"/>
    </font>
    <font>
      <sz val="6"/>
      <color theme="0"/>
      <name val="Arial"/>
      <family val="2"/>
    </font>
    <font>
      <sz val="10"/>
      <color rgb="FF574123"/>
      <name val="Tahoma"/>
      <family val="2"/>
    </font>
    <font>
      <sz val="8.25"/>
      <color rgb="FF000000"/>
      <name val="Times New Roman"/>
      <family val="1"/>
    </font>
    <font>
      <b/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 style="hair">
        <color rgb="FF000000"/>
      </left>
      <right>
        <color rgb="FF000000"/>
      </right>
      <top>
        <color rgb="FF000000"/>
      </top>
      <bottom>
        <color rgb="FF000000"/>
      </bottom>
    </border>
    <border>
      <left style="hair">
        <color rgb="FF000000"/>
      </left>
      <right>
        <color rgb="FF000000"/>
      </right>
      <top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hair">
        <color indexed="8"/>
      </left>
      <right>
        <color indexed="8"/>
      </right>
      <top>
        <color indexed="8"/>
      </top>
      <bottom>
        <color indexed="8"/>
      </bottom>
    </border>
    <border>
      <left style="hair">
        <color indexed="8"/>
      </left>
      <right>
        <color indexed="8"/>
      </right>
      <top style="hair">
        <color indexed="8"/>
      </top>
      <bottom>
        <color indexed="8"/>
      </bottom>
    </border>
    <border>
      <left style="hair">
        <color indexed="8"/>
      </left>
      <right>
        <color indexed="8"/>
      </right>
      <top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246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/>
      <protection hidden="1"/>
    </xf>
    <xf numFmtId="0" fontId="1" fillId="33" borderId="0" xfId="0" applyFont="1" applyFill="1" applyBorder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horizontal="center" vertical="center" shrinkToFit="1"/>
      <protection hidden="1"/>
    </xf>
    <xf numFmtId="0" fontId="1" fillId="33" borderId="0" xfId="0" applyNumberFormat="1" applyFont="1" applyFill="1" applyBorder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 shrinkToFit="1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3" fontId="2" fillId="0" borderId="0" xfId="0" applyNumberFormat="1" applyFont="1" applyFill="1" applyBorder="1" applyAlignment="1" applyProtection="1">
      <alignment horizontal="center" vertical="center"/>
      <protection/>
    </xf>
    <xf numFmtId="3" fontId="2" fillId="0" borderId="0" xfId="0" applyNumberFormat="1" applyFont="1" applyFill="1" applyBorder="1" applyAlignment="1" applyProtection="1">
      <alignment horizontal="right" vertical="center"/>
      <protection/>
    </xf>
    <xf numFmtId="3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34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 shrinkToFit="1"/>
      <protection/>
    </xf>
    <xf numFmtId="0" fontId="0" fillId="0" borderId="0" xfId="0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3" fontId="2" fillId="0" borderId="0" xfId="0" applyNumberFormat="1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3" fontId="2" fillId="0" borderId="0" xfId="0" applyNumberFormat="1" applyFont="1" applyAlignment="1" applyProtection="1">
      <alignment horizontal="right" vertical="center"/>
      <protection/>
    </xf>
    <xf numFmtId="3" fontId="1" fillId="0" borderId="0" xfId="0" applyNumberFormat="1" applyFont="1" applyAlignment="1" applyProtection="1">
      <alignment horizontal="center" vertical="center"/>
      <protection/>
    </xf>
    <xf numFmtId="3" fontId="0" fillId="0" borderId="0" xfId="0" applyNumberForma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3" fontId="0" fillId="0" borderId="0" xfId="0" applyNumberFormat="1" applyAlignment="1" applyProtection="1">
      <alignment horizontal="right" vertical="center"/>
      <protection/>
    </xf>
    <xf numFmtId="0" fontId="1" fillId="33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horizontal="center" shrinkToFit="1"/>
      <protection/>
    </xf>
    <xf numFmtId="0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 hidden="1"/>
    </xf>
    <xf numFmtId="0" fontId="3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right" vertical="center"/>
      <protection/>
    </xf>
    <xf numFmtId="3" fontId="2" fillId="0" borderId="0" xfId="0" applyNumberFormat="1" applyFont="1" applyFill="1" applyBorder="1" applyAlignment="1" applyProtection="1">
      <alignment vertical="center"/>
      <protection/>
    </xf>
    <xf numFmtId="3" fontId="2" fillId="0" borderId="0" xfId="0" applyNumberFormat="1" applyFont="1" applyAlignment="1" applyProtection="1">
      <alignment vertical="center"/>
      <protection/>
    </xf>
    <xf numFmtId="3" fontId="0" fillId="0" borderId="0" xfId="0" applyNumberFormat="1" applyAlignment="1" applyProtection="1">
      <alignment vertical="center"/>
      <protection/>
    </xf>
    <xf numFmtId="0" fontId="1" fillId="33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 vertical="center" shrinkToFit="1"/>
      <protection/>
    </xf>
    <xf numFmtId="3" fontId="3" fillId="0" borderId="0" xfId="0" applyNumberFormat="1" applyFont="1" applyFill="1" applyBorder="1" applyAlignment="1" applyProtection="1">
      <alignment horizontal="center" vertical="center"/>
      <protection/>
    </xf>
    <xf numFmtId="1" fontId="1" fillId="0" borderId="0" xfId="0" applyNumberFormat="1" applyFont="1" applyFill="1" applyBorder="1" applyAlignment="1" applyProtection="1">
      <alignment horizontal="center" vertical="center"/>
      <protection/>
    </xf>
    <xf numFmtId="3" fontId="1" fillId="33" borderId="0" xfId="0" applyNumberFormat="1" applyFont="1" applyFill="1" applyBorder="1" applyAlignment="1" applyProtection="1">
      <alignment horizontal="right" vertical="center" shrinkToFit="1"/>
      <protection hidden="1"/>
    </xf>
    <xf numFmtId="0" fontId="0" fillId="33" borderId="0" xfId="0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" fillId="35" borderId="0" xfId="0" applyFont="1" applyFill="1" applyAlignment="1" applyProtection="1">
      <alignment horizontal="center" vertical="center" shrinkToFit="1"/>
      <protection/>
    </xf>
    <xf numFmtId="0" fontId="1" fillId="33" borderId="0" xfId="0" applyFont="1" applyFill="1" applyBorder="1" applyAlignment="1" applyProtection="1">
      <alignment horizontal="center" vertical="center" wrapText="1"/>
      <protection hidden="1"/>
    </xf>
    <xf numFmtId="3" fontId="1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Alignment="1" applyProtection="1">
      <alignment horizontal="center"/>
      <protection hidden="1" locked="0"/>
    </xf>
    <xf numFmtId="49" fontId="2" fillId="0" borderId="0" xfId="0" applyNumberFormat="1" applyFont="1" applyAlignment="1" applyProtection="1">
      <alignment horizontal="center" vertical="center"/>
      <protection/>
    </xf>
    <xf numFmtId="0" fontId="30" fillId="0" borderId="10" xfId="0" applyFont="1" applyFill="1" applyBorder="1" applyAlignment="1" applyProtection="1">
      <alignment horizontal="center" vertical="center" shrinkToFit="1"/>
      <protection hidden="1"/>
    </xf>
    <xf numFmtId="0" fontId="31" fillId="33" borderId="11" xfId="0" applyFont="1" applyFill="1" applyBorder="1" applyAlignment="1" applyProtection="1">
      <alignment horizontal="center" vertical="center" wrapText="1" shrinkToFit="1"/>
      <protection hidden="1"/>
    </xf>
    <xf numFmtId="0" fontId="32" fillId="33" borderId="12" xfId="0" applyFont="1" applyFill="1" applyBorder="1" applyAlignment="1" applyProtection="1">
      <alignment horizontal="center" vertical="center" wrapText="1"/>
      <protection hidden="1"/>
    </xf>
    <xf numFmtId="0" fontId="30" fillId="34" borderId="13" xfId="0" applyNumberFormat="1" applyFont="1" applyFill="1" applyBorder="1" applyAlignment="1" applyProtection="1">
      <alignment horizontal="center" vertical="center" shrinkToFit="1"/>
      <protection hidden="1"/>
    </xf>
    <xf numFmtId="0" fontId="30" fillId="33" borderId="14" xfId="0" applyNumberFormat="1" applyFont="1" applyFill="1" applyBorder="1" applyAlignment="1" applyProtection="1">
      <alignment horizontal="center" vertical="center" shrinkToFit="1"/>
      <protection hidden="1"/>
    </xf>
    <xf numFmtId="0" fontId="30" fillId="33" borderId="0" xfId="0" applyFont="1" applyFill="1" applyBorder="1" applyAlignment="1" applyProtection="1">
      <alignment vertical="center"/>
      <protection hidden="1"/>
    </xf>
    <xf numFmtId="0" fontId="30" fillId="33" borderId="0" xfId="0" applyFont="1" applyFill="1" applyBorder="1" applyAlignment="1" applyProtection="1">
      <alignment horizontal="center" vertical="center"/>
      <protection hidden="1"/>
    </xf>
    <xf numFmtId="0" fontId="30" fillId="33" borderId="0" xfId="0" applyNumberFormat="1" applyFont="1" applyFill="1" applyBorder="1" applyAlignment="1" applyProtection="1">
      <alignment horizontal="center" vertical="center" shrinkToFit="1"/>
      <protection hidden="1"/>
    </xf>
    <xf numFmtId="0" fontId="30" fillId="36" borderId="12" xfId="0" applyFont="1" applyFill="1" applyBorder="1" applyAlignment="1" applyProtection="1">
      <alignment horizontal="center" vertical="center"/>
      <protection hidden="1"/>
    </xf>
    <xf numFmtId="0" fontId="8" fillId="36" borderId="11" xfId="0" applyFont="1" applyFill="1" applyBorder="1" applyAlignment="1" applyProtection="1">
      <alignment horizontal="center" vertical="center" shrinkToFit="1"/>
      <protection hidden="1"/>
    </xf>
    <xf numFmtId="0" fontId="8" fillId="36" borderId="12" xfId="0" applyFont="1" applyFill="1" applyBorder="1" applyAlignment="1" applyProtection="1">
      <alignment horizontal="center" vertical="center" shrinkToFit="1"/>
      <protection hidden="1"/>
    </xf>
    <xf numFmtId="0" fontId="33" fillId="36" borderId="12" xfId="0" applyFont="1" applyFill="1" applyBorder="1" applyAlignment="1" applyProtection="1">
      <alignment horizontal="center" vertical="center" shrinkToFit="1"/>
      <protection hidden="1"/>
    </xf>
    <xf numFmtId="0" fontId="33" fillId="36" borderId="15" xfId="0" applyFont="1" applyFill="1" applyBorder="1" applyAlignment="1" applyProtection="1">
      <alignment horizontal="center" vertical="center" shrinkToFit="1"/>
      <protection hidden="1"/>
    </xf>
    <xf numFmtId="0" fontId="30" fillId="36" borderId="14" xfId="0" applyFont="1" applyFill="1" applyBorder="1" applyAlignment="1" applyProtection="1">
      <alignment horizontal="center" vertical="center"/>
      <protection hidden="1"/>
    </xf>
    <xf numFmtId="0" fontId="31" fillId="36" borderId="14" xfId="0" applyFont="1" applyFill="1" applyBorder="1" applyAlignment="1" applyProtection="1">
      <alignment horizontal="center" vertical="center" wrapText="1"/>
      <protection hidden="1"/>
    </xf>
    <xf numFmtId="0" fontId="30" fillId="36" borderId="14" xfId="0" applyFont="1" applyFill="1" applyBorder="1" applyAlignment="1" applyProtection="1">
      <alignment horizontal="center" vertical="center" wrapText="1"/>
      <protection hidden="1"/>
    </xf>
    <xf numFmtId="0" fontId="69" fillId="36" borderId="12" xfId="0" applyFont="1" applyFill="1" applyBorder="1" applyAlignment="1" applyProtection="1">
      <alignment vertical="center"/>
      <protection hidden="1"/>
    </xf>
    <xf numFmtId="0" fontId="70" fillId="36" borderId="12" xfId="0" applyFont="1" applyFill="1" applyBorder="1" applyAlignment="1" applyProtection="1">
      <alignment horizontal="left" vertical="center"/>
      <protection hidden="1"/>
    </xf>
    <xf numFmtId="0" fontId="30" fillId="37" borderId="16" xfId="0" applyFont="1" applyFill="1" applyBorder="1" applyAlignment="1" applyProtection="1">
      <alignment horizontal="center" vertical="center" shrinkToFit="1"/>
      <protection locked="0"/>
    </xf>
    <xf numFmtId="0" fontId="30" fillId="37" borderId="17" xfId="0" applyFont="1" applyFill="1" applyBorder="1" applyAlignment="1" applyProtection="1">
      <alignment horizontal="center" vertical="center" shrinkToFit="1"/>
      <protection locked="0"/>
    </xf>
    <xf numFmtId="0" fontId="30" fillId="37" borderId="18" xfId="0" applyFont="1" applyFill="1" applyBorder="1" applyAlignment="1" applyProtection="1">
      <alignment horizontal="center" vertical="center" shrinkToFit="1"/>
      <protection locked="0"/>
    </xf>
    <xf numFmtId="0" fontId="8" fillId="37" borderId="19" xfId="0" applyNumberFormat="1" applyFont="1" applyFill="1" applyBorder="1" applyAlignment="1" applyProtection="1">
      <alignment horizontal="center" vertical="center" shrinkToFit="1"/>
      <protection locked="0"/>
    </xf>
    <xf numFmtId="0" fontId="30" fillId="37" borderId="12" xfId="0" applyFont="1" applyFill="1" applyBorder="1" applyAlignment="1" applyProtection="1">
      <alignment horizontal="center" vertical="center" shrinkToFit="1"/>
      <protection locked="0"/>
    </xf>
    <xf numFmtId="0" fontId="30" fillId="37" borderId="20" xfId="0" applyFont="1" applyFill="1" applyBorder="1" applyAlignment="1" applyProtection="1">
      <alignment horizontal="center" vertical="center" shrinkToFit="1"/>
      <protection locked="0"/>
    </xf>
    <xf numFmtId="0" fontId="30" fillId="37" borderId="10" xfId="0" applyFont="1" applyFill="1" applyBorder="1" applyAlignment="1" applyProtection="1">
      <alignment horizontal="center" vertical="center" shrinkToFit="1"/>
      <protection locked="0"/>
    </xf>
    <xf numFmtId="0" fontId="8" fillId="37" borderId="11" xfId="0" applyNumberFormat="1" applyFont="1" applyFill="1" applyBorder="1" applyAlignment="1" applyProtection="1">
      <alignment horizontal="center" vertical="center" shrinkToFit="1"/>
      <protection locked="0"/>
    </xf>
    <xf numFmtId="0" fontId="8" fillId="37" borderId="10" xfId="0" applyNumberFormat="1" applyFont="1" applyFill="1" applyBorder="1" applyAlignment="1" applyProtection="1">
      <alignment horizontal="center" vertical="center" shrinkToFit="1"/>
      <protection locked="0"/>
    </xf>
    <xf numFmtId="3" fontId="30" fillId="34" borderId="13" xfId="0" applyNumberFormat="1" applyFont="1" applyFill="1" applyBorder="1" applyAlignment="1" applyProtection="1">
      <alignment horizontal="center" vertical="center" shrinkToFit="1"/>
      <protection hidden="1"/>
    </xf>
    <xf numFmtId="0" fontId="71" fillId="0" borderId="0" xfId="0" applyFont="1" applyFill="1" applyBorder="1" applyAlignment="1" applyProtection="1">
      <alignment vertical="center"/>
      <protection hidden="1"/>
    </xf>
    <xf numFmtId="0" fontId="71" fillId="0" borderId="0" xfId="0" applyFont="1" applyFill="1" applyBorder="1" applyAlignment="1" applyProtection="1">
      <alignment horizontal="center" vertical="center" shrinkToFit="1"/>
      <protection hidden="1"/>
    </xf>
    <xf numFmtId="0" fontId="71" fillId="0" borderId="0" xfId="0" applyNumberFormat="1" applyFont="1" applyFill="1" applyBorder="1" applyAlignment="1" applyProtection="1">
      <alignment vertical="center"/>
      <protection hidden="1"/>
    </xf>
    <xf numFmtId="0" fontId="71" fillId="0" borderId="0" xfId="0" applyFont="1" applyFill="1" applyBorder="1" applyAlignment="1" applyProtection="1">
      <alignment vertical="center"/>
      <protection/>
    </xf>
    <xf numFmtId="0" fontId="71" fillId="0" borderId="0" xfId="0" applyNumberFormat="1" applyFont="1" applyFill="1" applyBorder="1" applyAlignment="1" applyProtection="1">
      <alignment vertical="center"/>
      <protection/>
    </xf>
    <xf numFmtId="0" fontId="72" fillId="0" borderId="0" xfId="0" applyFont="1" applyFill="1" applyAlignment="1" applyProtection="1">
      <alignment/>
      <protection/>
    </xf>
    <xf numFmtId="0" fontId="72" fillId="0" borderId="0" xfId="0" applyFont="1" applyFill="1" applyAlignment="1" applyProtection="1">
      <alignment horizontal="center" shrinkToFit="1"/>
      <protection/>
    </xf>
    <xf numFmtId="0" fontId="72" fillId="0" borderId="0" xfId="0" applyNumberFormat="1" applyFont="1" applyFill="1" applyAlignment="1" applyProtection="1">
      <alignment/>
      <protection/>
    </xf>
    <xf numFmtId="0" fontId="73" fillId="0" borderId="0" xfId="0" applyFont="1" applyFill="1" applyAlignment="1" applyProtection="1">
      <alignment/>
      <protection/>
    </xf>
    <xf numFmtId="0" fontId="72" fillId="0" borderId="0" xfId="0" applyFont="1" applyFill="1" applyAlignment="1" applyProtection="1">
      <alignment/>
      <protection hidden="1" locked="0"/>
    </xf>
    <xf numFmtId="0" fontId="39" fillId="37" borderId="11" xfId="0" applyFont="1" applyFill="1" applyBorder="1" applyAlignment="1" applyProtection="1">
      <alignment vertical="center" shrinkToFit="1"/>
      <protection locked="0"/>
    </xf>
    <xf numFmtId="0" fontId="30" fillId="36" borderId="14" xfId="0" applyFont="1" applyFill="1" applyBorder="1" applyAlignment="1" applyProtection="1">
      <alignment horizontal="center" vertical="center"/>
      <protection hidden="1" locked="0"/>
    </xf>
    <xf numFmtId="0" fontId="30" fillId="36" borderId="21" xfId="0" applyFont="1" applyFill="1" applyBorder="1" applyAlignment="1" applyProtection="1">
      <alignment horizontal="center" vertical="center"/>
      <protection hidden="1" locked="0"/>
    </xf>
    <xf numFmtId="0" fontId="30" fillId="36" borderId="12" xfId="0" applyFont="1" applyFill="1" applyBorder="1" applyAlignment="1" applyProtection="1">
      <alignment horizontal="center" vertical="center" shrinkToFit="1"/>
      <protection hidden="1"/>
    </xf>
    <xf numFmtId="0" fontId="30" fillId="0" borderId="12" xfId="0" applyFont="1" applyFill="1" applyBorder="1" applyAlignment="1" applyProtection="1">
      <alignment horizontal="center" vertical="center" shrinkToFit="1"/>
      <protection hidden="1"/>
    </xf>
    <xf numFmtId="0" fontId="31" fillId="36" borderId="12" xfId="0" applyFont="1" applyFill="1" applyBorder="1" applyAlignment="1" applyProtection="1">
      <alignment horizontal="right" vertical="center" indent="1"/>
      <protection hidden="1"/>
    </xf>
    <xf numFmtId="195" fontId="31" fillId="37" borderId="13" xfId="0" applyNumberFormat="1" applyFont="1" applyFill="1" applyBorder="1" applyAlignment="1" applyProtection="1">
      <alignment horizontal="center" vertical="center" shrinkToFit="1"/>
      <protection locked="0"/>
    </xf>
    <xf numFmtId="0" fontId="31" fillId="37" borderId="14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22" xfId="0" applyFont="1" applyFill="1" applyBorder="1" applyAlignment="1" applyProtection="1">
      <alignment vertical="center"/>
      <protection hidden="1"/>
    </xf>
    <xf numFmtId="0" fontId="74" fillId="0" borderId="23" xfId="0" applyFont="1" applyBorder="1" applyAlignment="1">
      <alignment horizontal="left" indent="2"/>
    </xf>
    <xf numFmtId="0" fontId="0" fillId="0" borderId="23" xfId="0" applyBorder="1" applyAlignment="1">
      <alignment/>
    </xf>
    <xf numFmtId="0" fontId="0" fillId="0" borderId="23" xfId="0" applyBorder="1" applyAlignment="1" applyProtection="1">
      <alignment/>
      <protection/>
    </xf>
    <xf numFmtId="0" fontId="75" fillId="0" borderId="24" xfId="0" applyFont="1" applyBorder="1" applyAlignment="1">
      <alignment horizontal="center"/>
    </xf>
    <xf numFmtId="0" fontId="1" fillId="0" borderId="25" xfId="0" applyFont="1" applyFill="1" applyBorder="1" applyAlignment="1" applyProtection="1">
      <alignment vertical="center"/>
      <protection hidden="1"/>
    </xf>
    <xf numFmtId="0" fontId="74" fillId="0" borderId="0" xfId="0" applyFont="1" applyBorder="1" applyAlignment="1">
      <alignment horizontal="left" indent="2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/>
    </xf>
    <xf numFmtId="0" fontId="75" fillId="0" borderId="26" xfId="0" applyFont="1" applyBorder="1" applyAlignment="1">
      <alignment horizontal="center"/>
    </xf>
    <xf numFmtId="0" fontId="1" fillId="0" borderId="27" xfId="0" applyFont="1" applyFill="1" applyBorder="1" applyAlignment="1" applyProtection="1">
      <alignment vertical="center"/>
      <protection hidden="1"/>
    </xf>
    <xf numFmtId="0" fontId="74" fillId="0" borderId="16" xfId="0" applyFont="1" applyBorder="1" applyAlignment="1">
      <alignment horizontal="left" indent="2"/>
    </xf>
    <xf numFmtId="0" fontId="0" fillId="0" borderId="16" xfId="0" applyBorder="1" applyAlignment="1">
      <alignment/>
    </xf>
    <xf numFmtId="0" fontId="0" fillId="0" borderId="16" xfId="0" applyBorder="1" applyAlignment="1" applyProtection="1">
      <alignment/>
      <protection/>
    </xf>
    <xf numFmtId="0" fontId="75" fillId="0" borderId="28" xfId="0" applyFont="1" applyBorder="1" applyAlignment="1">
      <alignment horizontal="center"/>
    </xf>
    <xf numFmtId="0" fontId="9" fillId="0" borderId="0" xfId="0" applyFont="1" applyFill="1" applyAlignment="1" applyProtection="1">
      <alignment/>
      <protection/>
    </xf>
    <xf numFmtId="0" fontId="76" fillId="0" borderId="0" xfId="0" applyFont="1" applyFill="1" applyAlignment="1" applyProtection="1">
      <alignment/>
      <protection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Fill="1" applyBorder="1" applyAlignment="1">
      <alignment horizontal="left"/>
    </xf>
    <xf numFmtId="0" fontId="0" fillId="0" borderId="33" xfId="0" applyFont="1" applyFill="1" applyBorder="1" applyAlignment="1">
      <alignment horizontal="left" shrinkToFit="1"/>
    </xf>
    <xf numFmtId="0" fontId="0" fillId="0" borderId="0" xfId="0" applyFont="1" applyFill="1" applyBorder="1" applyAlignment="1">
      <alignment horizontal="left"/>
    </xf>
    <xf numFmtId="0" fontId="0" fillId="0" borderId="34" xfId="0" applyFont="1" applyFill="1" applyBorder="1" applyAlignment="1">
      <alignment horizontal="left" shrinkToFit="1"/>
    </xf>
    <xf numFmtId="0" fontId="0" fillId="0" borderId="0" xfId="0" applyFont="1" applyAlignment="1">
      <alignment horizontal="left"/>
    </xf>
    <xf numFmtId="0" fontId="0" fillId="0" borderId="34" xfId="0" applyFont="1" applyBorder="1" applyAlignment="1">
      <alignment horizontal="left" shrinkToFit="1"/>
    </xf>
    <xf numFmtId="0" fontId="0" fillId="0" borderId="35" xfId="0" applyFont="1" applyBorder="1" applyAlignment="1">
      <alignment horizontal="left"/>
    </xf>
    <xf numFmtId="0" fontId="10" fillId="0" borderId="36" xfId="0" applyFont="1" applyBorder="1" applyAlignment="1">
      <alignment horizontal="left" shrinkToFit="1"/>
    </xf>
    <xf numFmtId="0" fontId="39" fillId="34" borderId="37" xfId="0" applyFont="1" applyFill="1" applyBorder="1" applyAlignment="1" applyProtection="1">
      <alignment horizontal="center" vertical="center"/>
      <protection hidden="1"/>
    </xf>
    <xf numFmtId="0" fontId="39" fillId="34" borderId="38" xfId="0" applyFont="1" applyFill="1" applyBorder="1" applyAlignment="1" applyProtection="1">
      <alignment horizontal="center" vertical="center"/>
      <protection hidden="1"/>
    </xf>
    <xf numFmtId="0" fontId="39" fillId="34" borderId="17" xfId="0" applyFont="1" applyFill="1" applyBorder="1" applyAlignment="1" applyProtection="1">
      <alignment horizontal="center" vertical="center"/>
      <protection hidden="1"/>
    </xf>
    <xf numFmtId="0" fontId="39" fillId="34" borderId="16" xfId="0" applyFont="1" applyFill="1" applyBorder="1" applyAlignment="1" applyProtection="1">
      <alignment horizontal="center" vertical="center"/>
      <protection hidden="1"/>
    </xf>
    <xf numFmtId="0" fontId="31" fillId="33" borderId="12" xfId="0" applyFont="1" applyFill="1" applyBorder="1" applyAlignment="1" applyProtection="1">
      <alignment horizontal="center" vertical="center" wrapText="1" shrinkToFit="1"/>
      <protection hidden="1"/>
    </xf>
    <xf numFmtId="0" fontId="1" fillId="0" borderId="0" xfId="0" applyFont="1" applyFill="1" applyBorder="1" applyAlignment="1" applyProtection="1">
      <alignment horizontal="center" vertical="center" shrinkToFit="1"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shrinkToFit="1"/>
      <protection/>
    </xf>
    <xf numFmtId="0" fontId="0" fillId="0" borderId="0" xfId="0" applyFont="1" applyFill="1" applyAlignment="1" applyProtection="1">
      <alignment horizontal="center" shrinkToFit="1"/>
      <protection/>
    </xf>
    <xf numFmtId="0" fontId="30" fillId="36" borderId="14" xfId="0" applyFont="1" applyFill="1" applyBorder="1" applyAlignment="1" applyProtection="1">
      <alignment horizontal="center" vertical="center" textRotation="90" wrapText="1" shrinkToFit="1"/>
      <protection hidden="1"/>
    </xf>
    <xf numFmtId="0" fontId="30" fillId="36" borderId="12" xfId="0" applyFont="1" applyFill="1" applyBorder="1" applyAlignment="1" applyProtection="1">
      <alignment horizontal="center" vertical="center" textRotation="90" wrapText="1" shrinkToFit="1"/>
      <protection hidden="1"/>
    </xf>
    <xf numFmtId="0" fontId="30" fillId="36" borderId="39" xfId="0" applyFont="1" applyFill="1" applyBorder="1" applyAlignment="1" applyProtection="1">
      <alignment horizontal="center" vertical="center" textRotation="90" shrinkToFit="1"/>
      <protection hidden="1"/>
    </xf>
    <xf numFmtId="0" fontId="30" fillId="36" borderId="20" xfId="0" applyFont="1" applyFill="1" applyBorder="1" applyAlignment="1" applyProtection="1">
      <alignment horizontal="center" vertical="center" textRotation="90" shrinkToFit="1"/>
      <protection hidden="1"/>
    </xf>
    <xf numFmtId="0" fontId="30" fillId="36" borderId="10" xfId="0" applyFont="1" applyFill="1" applyBorder="1" applyAlignment="1" applyProtection="1">
      <alignment horizontal="center" vertical="center" textRotation="90" shrinkToFit="1"/>
      <protection hidden="1"/>
    </xf>
    <xf numFmtId="0" fontId="0" fillId="0" borderId="0" xfId="0" applyFont="1" applyAlignment="1" applyProtection="1">
      <alignment/>
      <protection/>
    </xf>
    <xf numFmtId="0" fontId="39" fillId="37" borderId="22" xfId="0" applyFont="1" applyFill="1" applyBorder="1" applyAlignment="1" applyProtection="1">
      <alignment vertical="center" shrinkToFit="1"/>
      <protection locked="0"/>
    </xf>
    <xf numFmtId="0" fontId="30" fillId="0" borderId="40" xfId="0" applyFont="1" applyFill="1" applyBorder="1" applyAlignment="1" applyProtection="1">
      <alignment horizontal="center" vertical="center" shrinkToFit="1"/>
      <protection hidden="1"/>
    </xf>
    <xf numFmtId="0" fontId="30" fillId="0" borderId="23" xfId="0" applyFont="1" applyFill="1" applyBorder="1" applyAlignment="1" applyProtection="1">
      <alignment horizontal="center" vertical="center" shrinkToFit="1"/>
      <protection hidden="1"/>
    </xf>
    <xf numFmtId="0" fontId="39" fillId="34" borderId="41" xfId="0" applyFont="1" applyFill="1" applyBorder="1" applyAlignment="1" applyProtection="1">
      <alignment horizontal="center" vertical="center"/>
      <protection hidden="1"/>
    </xf>
    <xf numFmtId="0" fontId="39" fillId="34" borderId="42" xfId="0" applyFont="1" applyFill="1" applyBorder="1" applyAlignment="1" applyProtection="1">
      <alignment horizontal="center" vertical="center"/>
      <protection hidden="1"/>
    </xf>
    <xf numFmtId="0" fontId="39" fillId="34" borderId="43" xfId="0" applyFont="1" applyFill="1" applyBorder="1" applyAlignment="1" applyProtection="1">
      <alignment horizontal="center" vertical="center"/>
      <protection hidden="1"/>
    </xf>
    <xf numFmtId="0" fontId="39" fillId="34" borderId="0" xfId="0" applyFont="1" applyFill="1" applyBorder="1" applyAlignment="1" applyProtection="1">
      <alignment horizontal="center" vertical="center"/>
      <protection hidden="1"/>
    </xf>
    <xf numFmtId="0" fontId="31" fillId="33" borderId="22" xfId="0" applyFont="1" applyFill="1" applyBorder="1" applyAlignment="1" applyProtection="1">
      <alignment horizontal="center" vertical="center" wrapText="1" shrinkToFit="1"/>
      <protection hidden="1"/>
    </xf>
    <xf numFmtId="0" fontId="32" fillId="33" borderId="23" xfId="0" applyFont="1" applyFill="1" applyBorder="1" applyAlignment="1" applyProtection="1">
      <alignment horizontal="center" vertical="center" wrapText="1"/>
      <protection hidden="1"/>
    </xf>
    <xf numFmtId="0" fontId="8" fillId="37" borderId="22" xfId="0" applyNumberFormat="1" applyFont="1" applyFill="1" applyBorder="1" applyAlignment="1" applyProtection="1">
      <alignment horizontal="center" vertical="center" shrinkToFit="1"/>
      <protection locked="0"/>
    </xf>
    <xf numFmtId="0" fontId="8" fillId="37" borderId="44" xfId="0" applyNumberFormat="1" applyFont="1" applyFill="1" applyBorder="1" applyAlignment="1" applyProtection="1">
      <alignment horizontal="center" vertical="center" shrinkToFit="1"/>
      <protection locked="0"/>
    </xf>
    <xf numFmtId="0" fontId="8" fillId="37" borderId="40" xfId="0" applyNumberFormat="1" applyFont="1" applyFill="1" applyBorder="1" applyAlignment="1" applyProtection="1">
      <alignment horizontal="center" vertical="center" shrinkToFit="1"/>
      <protection locked="0"/>
    </xf>
    <xf numFmtId="0" fontId="30" fillId="37" borderId="23" xfId="0" applyFont="1" applyFill="1" applyBorder="1" applyAlignment="1" applyProtection="1">
      <alignment horizontal="center" vertical="center" shrinkToFit="1"/>
      <protection locked="0"/>
    </xf>
    <xf numFmtId="0" fontId="30" fillId="37" borderId="45" xfId="0" applyFont="1" applyFill="1" applyBorder="1" applyAlignment="1" applyProtection="1">
      <alignment horizontal="center" vertical="center" shrinkToFit="1"/>
      <protection locked="0"/>
    </xf>
    <xf numFmtId="0" fontId="30" fillId="37" borderId="40" xfId="0" applyFont="1" applyFill="1" applyBorder="1" applyAlignment="1" applyProtection="1">
      <alignment horizontal="center" vertical="center" shrinkToFit="1"/>
      <protection locked="0"/>
    </xf>
    <xf numFmtId="0" fontId="30" fillId="34" borderId="21" xfId="0" applyNumberFormat="1" applyFont="1" applyFill="1" applyBorder="1" applyAlignment="1" applyProtection="1">
      <alignment horizontal="center" vertical="center" shrinkToFit="1"/>
      <protection hidden="1"/>
    </xf>
    <xf numFmtId="3" fontId="30" fillId="34" borderId="21" xfId="0" applyNumberFormat="1" applyFont="1" applyFill="1" applyBorder="1" applyAlignment="1" applyProtection="1">
      <alignment horizontal="center" vertical="center" shrinkToFit="1"/>
      <protection hidden="1"/>
    </xf>
    <xf numFmtId="0" fontId="30" fillId="36" borderId="0" xfId="0" applyFont="1" applyFill="1" applyBorder="1" applyAlignment="1" applyProtection="1">
      <alignment horizontal="center" vertical="center"/>
      <protection hidden="1"/>
    </xf>
    <xf numFmtId="0" fontId="30" fillId="37" borderId="0" xfId="0" applyFont="1" applyFill="1" applyBorder="1" applyAlignment="1" applyProtection="1">
      <alignment horizontal="center" vertical="center"/>
      <protection hidden="1"/>
    </xf>
    <xf numFmtId="0" fontId="43" fillId="37" borderId="0" xfId="0" applyFont="1" applyFill="1" applyBorder="1" applyAlignment="1" applyProtection="1">
      <alignment vertical="center" wrapText="1" shrinkToFit="1"/>
      <protection locked="0"/>
    </xf>
    <xf numFmtId="3" fontId="44" fillId="37" borderId="0" xfId="0" applyNumberFormat="1" applyFont="1" applyFill="1" applyBorder="1" applyAlignment="1" applyProtection="1">
      <alignment horizontal="center" vertical="center" shrinkToFit="1"/>
      <protection hidden="1"/>
    </xf>
    <xf numFmtId="0" fontId="30" fillId="37" borderId="0" xfId="0" applyFont="1" applyFill="1" applyBorder="1" applyAlignment="1" applyProtection="1">
      <alignment vertical="center"/>
      <protection hidden="1"/>
    </xf>
    <xf numFmtId="0" fontId="30" fillId="37" borderId="0" xfId="0" applyFont="1" applyFill="1" applyBorder="1" applyAlignment="1" applyProtection="1">
      <alignment horizontal="center" vertical="center" shrinkToFit="1"/>
      <protection/>
    </xf>
    <xf numFmtId="0" fontId="30" fillId="37" borderId="0" xfId="0" applyFont="1" applyFill="1" applyBorder="1" applyAlignment="1" applyProtection="1">
      <alignment horizontal="center" vertical="center" shrinkToFit="1"/>
      <protection hidden="1"/>
    </xf>
    <xf numFmtId="0" fontId="30" fillId="37" borderId="0" xfId="0" applyFont="1" applyFill="1" applyBorder="1" applyAlignment="1" applyProtection="1">
      <alignment horizontal="center" vertical="center" shrinkToFit="1"/>
      <protection locked="0"/>
    </xf>
    <xf numFmtId="0" fontId="30" fillId="37" borderId="0" xfId="0" applyFont="1" applyFill="1" applyBorder="1" applyAlignment="1" applyProtection="1">
      <alignment horizontal="right" vertical="center"/>
      <protection hidden="1"/>
    </xf>
    <xf numFmtId="3" fontId="31" fillId="37" borderId="0" xfId="0" applyNumberFormat="1" applyFont="1" applyFill="1" applyBorder="1" applyAlignment="1" applyProtection="1">
      <alignment vertical="center"/>
      <protection hidden="1"/>
    </xf>
    <xf numFmtId="0" fontId="31" fillId="37" borderId="0" xfId="0" applyFont="1" applyFill="1" applyBorder="1" applyAlignment="1" applyProtection="1">
      <alignment vertical="center"/>
      <protection hidden="1"/>
    </xf>
    <xf numFmtId="0" fontId="45" fillId="37" borderId="0" xfId="0" applyFont="1" applyFill="1" applyBorder="1" applyAlignment="1" applyProtection="1">
      <alignment/>
      <protection hidden="1"/>
    </xf>
    <xf numFmtId="0" fontId="46" fillId="37" borderId="0" xfId="0" applyFont="1" applyFill="1" applyBorder="1" applyAlignment="1" applyProtection="1">
      <alignment horizontal="right"/>
      <protection hidden="1"/>
    </xf>
    <xf numFmtId="0" fontId="47" fillId="37" borderId="0" xfId="53" applyFont="1" applyFill="1" applyBorder="1" applyAlignment="1" applyProtection="1">
      <alignment/>
      <protection hidden="1"/>
    </xf>
    <xf numFmtId="0" fontId="30" fillId="0" borderId="0" xfId="0" applyFont="1" applyFill="1" applyBorder="1" applyAlignment="1" applyProtection="1">
      <alignment horizontal="center" vertical="center"/>
      <protection hidden="1"/>
    </xf>
    <xf numFmtId="0" fontId="31" fillId="0" borderId="0" xfId="0" applyFont="1" applyFill="1" applyBorder="1" applyAlignment="1" applyProtection="1">
      <alignment horizontal="right" vertical="center" indent="1"/>
      <protection hidden="1"/>
    </xf>
    <xf numFmtId="0" fontId="44" fillId="0" borderId="0" xfId="0" applyFont="1" applyFill="1" applyBorder="1" applyAlignment="1" applyProtection="1">
      <alignment vertical="center" shrinkToFit="1"/>
      <protection hidden="1"/>
    </xf>
    <xf numFmtId="0" fontId="44" fillId="0" borderId="0" xfId="0" applyFont="1" applyFill="1" applyBorder="1" applyAlignment="1" applyProtection="1">
      <alignment horizontal="center" vertical="center"/>
      <protection hidden="1"/>
    </xf>
    <xf numFmtId="0" fontId="48" fillId="0" borderId="0" xfId="0" applyFont="1" applyFill="1" applyBorder="1" applyAlignment="1" applyProtection="1">
      <alignment horizontal="left" vertical="center"/>
      <protection hidden="1"/>
    </xf>
    <xf numFmtId="0" fontId="44" fillId="0" borderId="0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Fill="1" applyBorder="1" applyAlignment="1" applyProtection="1">
      <alignment horizontal="center" vertical="center"/>
      <protection hidden="1"/>
    </xf>
    <xf numFmtId="3" fontId="1" fillId="0" borderId="0" xfId="0" applyNumberFormat="1" applyFont="1" applyFill="1" applyBorder="1" applyAlignment="1" applyProtection="1">
      <alignment horizontal="right" vertical="center"/>
      <protection locked="0"/>
    </xf>
    <xf numFmtId="3" fontId="1" fillId="0" borderId="0" xfId="0" applyNumberFormat="1" applyFont="1" applyFill="1" applyBorder="1" applyAlignment="1" applyProtection="1">
      <alignment vertical="center"/>
      <protection hidden="1"/>
    </xf>
    <xf numFmtId="3" fontId="1" fillId="0" borderId="0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 shrinkToFit="1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left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horizontal="right" vertical="center"/>
      <protection hidden="1"/>
    </xf>
    <xf numFmtId="3" fontId="7" fillId="0" borderId="0" xfId="0" applyNumberFormat="1" applyFont="1" applyFill="1" applyBorder="1" applyAlignment="1" applyProtection="1">
      <alignment horizontal="right" vertical="center" shrinkToFit="1"/>
      <protection hidden="1"/>
    </xf>
    <xf numFmtId="0" fontId="30" fillId="36" borderId="15" xfId="0" applyFont="1" applyFill="1" applyBorder="1" applyAlignment="1" applyProtection="1">
      <alignment horizontal="center" vertical="center" shrinkToFit="1"/>
      <protection hidden="1"/>
    </xf>
    <xf numFmtId="0" fontId="30" fillId="37" borderId="28" xfId="0" applyFont="1" applyFill="1" applyBorder="1" applyAlignment="1" applyProtection="1">
      <alignment horizontal="center" vertical="center" shrinkToFit="1"/>
      <protection locked="0"/>
    </xf>
    <xf numFmtId="0" fontId="30" fillId="37" borderId="26" xfId="0" applyFont="1" applyFill="1" applyBorder="1" applyAlignment="1" applyProtection="1">
      <alignment horizontal="center" vertical="center" shrinkToFit="1"/>
      <protection locked="0"/>
    </xf>
    <xf numFmtId="0" fontId="33" fillId="36" borderId="15" xfId="0" applyFont="1" applyFill="1" applyBorder="1" applyAlignment="1" applyProtection="1">
      <alignment horizontal="center" vertical="center" textRotation="90" shrinkToFit="1"/>
      <protection hidden="1"/>
    </xf>
    <xf numFmtId="0" fontId="11" fillId="0" borderId="0" xfId="0" applyFont="1" applyAlignment="1">
      <alignment/>
    </xf>
    <xf numFmtId="0" fontId="0" fillId="0" borderId="46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0" xfId="0" applyFont="1" applyBorder="1" applyAlignment="1">
      <alignment/>
    </xf>
    <xf numFmtId="0" fontId="11" fillId="0" borderId="46" xfId="0" applyFont="1" applyBorder="1" applyAlignment="1">
      <alignment/>
    </xf>
    <xf numFmtId="0" fontId="0" fillId="0" borderId="49" xfId="0" applyFont="1" applyBorder="1" applyAlignment="1">
      <alignment/>
    </xf>
    <xf numFmtId="0" fontId="0" fillId="38" borderId="49" xfId="0" applyFill="1" applyBorder="1" applyAlignment="1">
      <alignment/>
    </xf>
    <xf numFmtId="49" fontId="0" fillId="0" borderId="49" xfId="0" applyNumberFormat="1" applyFont="1" applyBorder="1" applyAlignment="1">
      <alignment/>
    </xf>
    <xf numFmtId="0" fontId="0" fillId="0" borderId="50" xfId="0" applyFont="1" applyBorder="1" applyAlignment="1">
      <alignment/>
    </xf>
    <xf numFmtId="0" fontId="0" fillId="38" borderId="50" xfId="0" applyFill="1" applyBorder="1" applyAlignment="1">
      <alignment/>
    </xf>
    <xf numFmtId="49" fontId="0" fillId="0" borderId="50" xfId="0" applyNumberFormat="1" applyFont="1" applyBorder="1" applyAlignment="1">
      <alignment/>
    </xf>
    <xf numFmtId="0" fontId="0" fillId="0" borderId="51" xfId="0" applyFont="1" applyBorder="1" applyAlignment="1">
      <alignment/>
    </xf>
    <xf numFmtId="0" fontId="0" fillId="38" borderId="51" xfId="0" applyFill="1" applyBorder="1" applyAlignment="1">
      <alignment/>
    </xf>
    <xf numFmtId="49" fontId="0" fillId="0" borderId="51" xfId="0" applyNumberFormat="1" applyFont="1" applyBorder="1" applyAlignment="1">
      <alignment/>
    </xf>
    <xf numFmtId="0" fontId="0" fillId="0" borderId="32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12" fillId="0" borderId="34" xfId="0" applyFont="1" applyBorder="1" applyAlignment="1">
      <alignment horizontal="left" wrapText="1" shrinkToFit="1"/>
    </xf>
    <xf numFmtId="0" fontId="0" fillId="0" borderId="35" xfId="0" applyFont="1" applyBorder="1" applyAlignment="1">
      <alignment horizontal="left" wrapText="1"/>
    </xf>
    <xf numFmtId="49" fontId="0" fillId="0" borderId="46" xfId="0" applyNumberFormat="1" applyFont="1" applyBorder="1" applyAlignment="1">
      <alignment/>
    </xf>
    <xf numFmtId="0" fontId="0" fillId="0" borderId="46" xfId="0" applyFont="1" applyFill="1" applyBorder="1" applyAlignment="1">
      <alignment horizontal="left" wrapText="1"/>
    </xf>
    <xf numFmtId="0" fontId="0" fillId="0" borderId="46" xfId="0" applyFont="1" applyBorder="1" applyAlignment="1">
      <alignment horizontal="left" wrapText="1"/>
    </xf>
    <xf numFmtId="49" fontId="0" fillId="0" borderId="48" xfId="0" applyNumberFormat="1" applyBorder="1" applyAlignment="1">
      <alignment/>
    </xf>
    <xf numFmtId="49" fontId="0" fillId="38" borderId="49" xfId="0" applyNumberFormat="1" applyFont="1" applyFill="1" applyBorder="1" applyAlignment="1">
      <alignment/>
    </xf>
    <xf numFmtId="49" fontId="0" fillId="38" borderId="50" xfId="0" applyNumberFormat="1" applyFont="1" applyFill="1" applyBorder="1" applyAlignment="1">
      <alignment/>
    </xf>
    <xf numFmtId="0" fontId="43" fillId="36" borderId="11" xfId="0" applyFont="1" applyFill="1" applyBorder="1" applyAlignment="1" applyProtection="1">
      <alignment vertical="center" wrapText="1" shrinkToFit="1"/>
      <protection locked="0"/>
    </xf>
    <xf numFmtId="0" fontId="43" fillId="36" borderId="12" xfId="0" applyFont="1" applyFill="1" applyBorder="1" applyAlignment="1" applyProtection="1">
      <alignment vertical="center" wrapText="1" shrinkToFit="1"/>
      <protection locked="0"/>
    </xf>
    <xf numFmtId="0" fontId="30" fillId="36" borderId="12" xfId="0" applyFont="1" applyFill="1" applyBorder="1" applyAlignment="1" applyProtection="1">
      <alignment vertical="center"/>
      <protection hidden="1"/>
    </xf>
    <xf numFmtId="3" fontId="30" fillId="34" borderId="14" xfId="0" applyNumberFormat="1" applyFont="1" applyFill="1" applyBorder="1" applyAlignment="1" applyProtection="1">
      <alignment horizontal="center" vertical="center" shrinkToFit="1"/>
      <protection hidden="1"/>
    </xf>
    <xf numFmtId="0" fontId="30" fillId="37" borderId="0" xfId="0" applyFont="1" applyFill="1" applyBorder="1" applyAlignment="1" applyProtection="1">
      <alignment horizontal="center" vertical="center" shrinkToFit="1"/>
      <protection hidden="1"/>
    </xf>
    <xf numFmtId="0" fontId="49" fillId="0" borderId="11" xfId="0" applyFont="1" applyFill="1" applyBorder="1" applyAlignment="1" applyProtection="1">
      <alignment horizontal="center" vertical="center"/>
      <protection hidden="1"/>
    </xf>
    <xf numFmtId="0" fontId="49" fillId="0" borderId="15" xfId="0" applyFont="1" applyFill="1" applyBorder="1" applyAlignment="1" applyProtection="1">
      <alignment horizontal="center" vertical="center"/>
      <protection hidden="1"/>
    </xf>
    <xf numFmtId="0" fontId="49" fillId="0" borderId="22" xfId="0" applyFont="1" applyFill="1" applyBorder="1" applyAlignment="1" applyProtection="1">
      <alignment horizontal="center" vertical="center"/>
      <protection hidden="1"/>
    </xf>
    <xf numFmtId="0" fontId="49" fillId="0" borderId="24" xfId="0" applyFont="1" applyFill="1" applyBorder="1" applyAlignment="1" applyProtection="1">
      <alignment horizontal="center" vertical="center"/>
      <protection hidden="1"/>
    </xf>
    <xf numFmtId="0" fontId="50" fillId="36" borderId="11" xfId="0" applyNumberFormat="1" applyFont="1" applyFill="1" applyBorder="1" applyAlignment="1" applyProtection="1">
      <alignment horizontal="center" vertical="center" wrapText="1"/>
      <protection hidden="1"/>
    </xf>
    <xf numFmtId="0" fontId="50" fillId="36" borderId="12" xfId="0" applyNumberFormat="1" applyFont="1" applyFill="1" applyBorder="1" applyAlignment="1" applyProtection="1">
      <alignment horizontal="center" vertical="center" wrapText="1"/>
      <protection hidden="1"/>
    </xf>
    <xf numFmtId="0" fontId="8" fillId="36" borderId="11" xfId="0" applyFont="1" applyFill="1" applyBorder="1" applyAlignment="1" applyProtection="1">
      <alignment horizontal="center" vertical="center" textRotation="90"/>
      <protection hidden="1"/>
    </xf>
    <xf numFmtId="0" fontId="8" fillId="36" borderId="15" xfId="0" applyFont="1" applyFill="1" applyBorder="1" applyAlignment="1" applyProtection="1">
      <alignment horizontal="center" vertical="center" textRotation="90"/>
      <protection hidden="1"/>
    </xf>
    <xf numFmtId="0" fontId="30" fillId="36" borderId="11" xfId="0" applyFont="1" applyFill="1" applyBorder="1" applyAlignment="1" applyProtection="1">
      <alignment horizontal="center" vertical="center"/>
      <protection hidden="1"/>
    </xf>
    <xf numFmtId="0" fontId="30" fillId="36" borderId="12" xfId="0" applyFont="1" applyFill="1" applyBorder="1" applyAlignment="1" applyProtection="1">
      <alignment horizontal="center" vertical="center"/>
      <protection hidden="1"/>
    </xf>
    <xf numFmtId="0" fontId="30" fillId="36" borderId="15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6">
    <dxf>
      <font>
        <color indexed="22"/>
      </font>
    </dxf>
    <dxf>
      <font>
        <color indexed="22"/>
      </font>
    </dxf>
    <dxf>
      <font>
        <strike/>
        <color indexed="20"/>
      </font>
    </dxf>
    <dxf>
      <font>
        <color indexed="22"/>
      </font>
    </dxf>
    <dxf>
      <font>
        <strike/>
        <color indexed="20"/>
      </font>
    </dxf>
    <dxf>
      <font>
        <color indexed="22"/>
      </font>
    </dxf>
    <dxf>
      <font>
        <strike/>
        <color indexed="20"/>
      </font>
    </dxf>
    <dxf>
      <font>
        <color indexed="22"/>
      </font>
    </dxf>
    <dxf>
      <font>
        <strike/>
        <color indexed="20"/>
      </font>
    </dxf>
    <dxf>
      <font>
        <color indexed="22"/>
      </font>
    </dxf>
    <dxf>
      <font>
        <strike/>
        <color indexed="20"/>
      </font>
    </dxf>
    <dxf>
      <font>
        <color indexed="22"/>
      </font>
    </dxf>
    <dxf>
      <font>
        <strike/>
        <color indexed="20"/>
      </font>
    </dxf>
    <dxf>
      <font>
        <color rgb="FFFF0000"/>
      </font>
    </dxf>
    <dxf>
      <font>
        <color indexed="10"/>
      </font>
    </dxf>
    <dxf>
      <font>
        <color indexed="9"/>
      </font>
    </dxf>
    <dxf>
      <font>
        <color indexed="22"/>
      </font>
    </dxf>
    <dxf>
      <font>
        <color theme="0" tint="-0.04997999966144562"/>
      </font>
      <fill>
        <patternFill>
          <bgColor indexed="61"/>
        </patternFill>
      </fill>
    </dxf>
    <dxf>
      <font>
        <color indexed="16"/>
      </font>
    </dxf>
    <dxf>
      <fill>
        <patternFill>
          <bgColor indexed="22"/>
        </patternFill>
      </fill>
    </dxf>
    <dxf>
      <font>
        <color indexed="9"/>
      </font>
    </dxf>
    <dxf>
      <font>
        <color indexed="22"/>
      </font>
    </dxf>
    <dxf>
      <font>
        <strike/>
        <color indexed="20"/>
      </font>
    </dxf>
    <dxf>
      <font>
        <color rgb="FFFF0000"/>
      </font>
    </dxf>
    <dxf>
      <font>
        <color indexed="10"/>
      </font>
    </dxf>
    <dxf>
      <font>
        <color indexed="9"/>
      </font>
    </dxf>
    <dxf>
      <font>
        <color indexed="22"/>
      </font>
    </dxf>
    <dxf>
      <font>
        <color theme="0" tint="-0.04997999966144562"/>
      </font>
      <fill>
        <patternFill>
          <bgColor indexed="61"/>
        </patternFill>
      </fill>
    </dxf>
    <dxf>
      <font>
        <color indexed="16"/>
      </font>
    </dxf>
    <dxf>
      <fill>
        <patternFill>
          <bgColor indexed="22"/>
        </patternFill>
      </fill>
    </dxf>
    <dxf>
      <font>
        <color indexed="9"/>
      </font>
    </dxf>
    <dxf>
      <font>
        <color indexed="22"/>
      </font>
    </dxf>
    <dxf>
      <font>
        <strike/>
        <color indexed="20"/>
      </font>
    </dxf>
    <dxf>
      <font>
        <color rgb="FFFF0000"/>
      </font>
    </dxf>
    <dxf>
      <font>
        <color indexed="10"/>
      </font>
    </dxf>
    <dxf>
      <font>
        <color indexed="9"/>
      </font>
    </dxf>
    <dxf>
      <font>
        <color indexed="22"/>
      </font>
    </dxf>
    <dxf>
      <font>
        <color theme="0" tint="-0.04997999966144562"/>
      </font>
      <fill>
        <patternFill>
          <bgColor indexed="61"/>
        </patternFill>
      </fill>
    </dxf>
    <dxf>
      <font>
        <color indexed="16"/>
      </font>
    </dxf>
    <dxf>
      <fill>
        <patternFill>
          <bgColor indexed="22"/>
        </patternFill>
      </fill>
    </dxf>
    <dxf>
      <font>
        <color indexed="9"/>
      </font>
    </dxf>
    <dxf>
      <font>
        <color indexed="22"/>
      </font>
    </dxf>
    <dxf>
      <font>
        <strike/>
        <color indexed="20"/>
      </font>
    </dxf>
    <dxf>
      <font>
        <color indexed="22"/>
      </font>
    </dxf>
    <dxf>
      <font>
        <strike/>
        <color indexed="20"/>
      </font>
    </dxf>
    <dxf>
      <font>
        <color indexed="22"/>
      </font>
    </dxf>
    <dxf>
      <font>
        <strike/>
        <color indexed="20"/>
      </font>
    </dxf>
    <dxf>
      <font>
        <color indexed="22"/>
      </font>
    </dxf>
    <dxf>
      <font>
        <strike/>
        <color indexed="20"/>
      </font>
    </dxf>
    <dxf>
      <font>
        <color indexed="22"/>
      </font>
    </dxf>
    <dxf>
      <font>
        <strike/>
        <color indexed="20"/>
      </font>
    </dxf>
    <dxf>
      <font>
        <color indexed="22"/>
      </font>
    </dxf>
    <dxf>
      <font>
        <strike/>
        <color indexed="20"/>
      </font>
    </dxf>
    <dxf>
      <font>
        <color rgb="FFFF0000"/>
      </font>
    </dxf>
    <dxf>
      <font>
        <color rgb="FFFF0000"/>
      </font>
    </dxf>
    <dxf>
      <font>
        <color indexed="22"/>
      </font>
    </dxf>
    <dxf>
      <font>
        <strike/>
        <color indexed="20"/>
      </font>
    </dxf>
    <dxf>
      <font>
        <color indexed="10"/>
      </font>
    </dxf>
    <dxf>
      <font>
        <color indexed="9"/>
      </font>
    </dxf>
    <dxf>
      <font>
        <color indexed="22"/>
      </font>
    </dxf>
    <dxf>
      <font>
        <color theme="0" tint="-0.04997999966144562"/>
      </font>
      <fill>
        <patternFill>
          <bgColor indexed="61"/>
        </patternFill>
      </fill>
    </dxf>
    <dxf>
      <font>
        <color indexed="16"/>
      </font>
    </dxf>
    <dxf>
      <font>
        <color indexed="22"/>
      </font>
    </dxf>
    <dxf>
      <fill>
        <patternFill>
          <bgColor indexed="22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000"/>
      <rgbColor rgb="000000FF"/>
      <rgbColor rgb="00FFFF00"/>
      <rgbColor rgb="00FF00FF"/>
      <rgbColor rgb="00EBFFFF"/>
      <rgbColor rgb="00800000"/>
      <rgbColor rgb="00008000"/>
      <rgbColor rgb="00000080"/>
      <rgbColor rgb="00808000"/>
      <rgbColor rgb="00969696"/>
      <rgbColor rgb="00008080"/>
      <rgbColor rgb="00D5D5D5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FF4FD"/>
      <rgbColor rgb="003FCF3F"/>
      <rgbColor rgb="00008200"/>
      <rgbColor rgb="0099CCFF"/>
      <rgbColor rgb="00C20000"/>
      <rgbColor rgb="00EAEAEA"/>
      <rgbColor rgb="00006200"/>
      <rgbColor rgb="003366FF"/>
      <rgbColor rgb="0033CCCC"/>
      <rgbColor rgb="0099CC00"/>
      <rgbColor rgb="00FFCC00"/>
      <rgbColor rgb="00FF9900"/>
      <rgbColor rgb="00FF6600"/>
      <rgbColor rgb="00666699"/>
      <rgbColor rgb="00ADADAD"/>
      <rgbColor rgb="00003366"/>
      <rgbColor rgb="00339966"/>
      <rgbColor rgb="00003300"/>
      <rgbColor rgb="00333300"/>
      <rgbColor rgb="00993300"/>
      <rgbColor rgb="00B9B9B9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114300</xdr:colOff>
      <xdr:row>22</xdr:row>
      <xdr:rowOff>0</xdr:rowOff>
    </xdr:from>
    <xdr:to>
      <xdr:col>32</xdr:col>
      <xdr:colOff>228600</xdr:colOff>
      <xdr:row>23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1191875" y="5086350"/>
          <a:ext cx="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U242"/>
  <sheetViews>
    <sheetView tabSelected="1" workbookViewId="0" topLeftCell="A1">
      <selection activeCell="D11" sqref="D11"/>
    </sheetView>
  </sheetViews>
  <sheetFormatPr defaultColWidth="0" defaultRowHeight="0" customHeight="1" zeroHeight="1"/>
  <cols>
    <col min="1" max="1" width="1.8515625" style="15" customWidth="1"/>
    <col min="2" max="3" width="3.8515625" style="15" hidden="1" customWidth="1"/>
    <col min="4" max="4" width="19.28125" style="15" customWidth="1"/>
    <col min="5" max="5" width="30.140625" style="32" customWidth="1"/>
    <col min="6" max="6" width="4.140625" style="32" hidden="1" customWidth="1"/>
    <col min="7" max="7" width="2.8515625" style="15" customWidth="1"/>
    <col min="8" max="12" width="3.00390625" style="15" customWidth="1"/>
    <col min="13" max="13" width="3.57421875" style="15" customWidth="1"/>
    <col min="14" max="14" width="3.57421875" style="15" hidden="1" customWidth="1"/>
    <col min="15" max="15" width="15.28125" style="15" customWidth="1"/>
    <col min="16" max="16" width="21.7109375" style="15" customWidth="1"/>
    <col min="17" max="17" width="30.8515625" style="15" customWidth="1"/>
    <col min="18" max="18" width="22.421875" style="15" customWidth="1"/>
    <col min="19" max="19" width="2.140625" style="15" hidden="1" customWidth="1"/>
    <col min="20" max="20" width="2.421875" style="15" hidden="1" customWidth="1"/>
    <col min="21" max="23" width="2.140625" style="33" hidden="1" customWidth="1"/>
    <col min="24" max="27" width="3.28125" style="15" hidden="1" customWidth="1"/>
    <col min="28" max="29" width="4.00390625" style="15" hidden="1" customWidth="1"/>
    <col min="30" max="30" width="3.421875" style="15" hidden="1" customWidth="1"/>
    <col min="31" max="31" width="4.8515625" style="15" customWidth="1"/>
    <col min="32" max="33" width="4.140625" style="15" hidden="1" customWidth="1"/>
    <col min="34" max="34" width="15.7109375" style="42" customWidth="1"/>
    <col min="35" max="35" width="3.7109375" style="34" customWidth="1"/>
    <col min="36" max="36" width="6.7109375" style="55" hidden="1" customWidth="1"/>
    <col min="37" max="41" width="6.7109375" style="54" hidden="1" customWidth="1"/>
    <col min="42" max="42" width="10.7109375" style="51" hidden="1" customWidth="1"/>
    <col min="43" max="43" width="14.00390625" style="15" hidden="1" customWidth="1"/>
    <col min="44" max="44" width="12.140625" style="15" hidden="1" customWidth="1"/>
    <col min="45" max="45" width="13.8515625" style="15" hidden="1" customWidth="1"/>
    <col min="46" max="48" width="12.7109375" style="15" hidden="1" customWidth="1"/>
    <col min="49" max="49" width="18.28125" style="15" hidden="1" customWidth="1"/>
    <col min="50" max="50" width="17.00390625" style="15" hidden="1" customWidth="1"/>
    <col min="51" max="51" width="10.7109375" style="29" hidden="1" customWidth="1"/>
    <col min="52" max="52" width="14.8515625" style="19" hidden="1" customWidth="1"/>
    <col min="53" max="53" width="3.00390625" style="19" hidden="1" customWidth="1"/>
    <col min="54" max="54" width="4.00390625" style="19" hidden="1" customWidth="1"/>
    <col min="55" max="55" width="4.57421875" style="19" hidden="1" customWidth="1"/>
    <col min="56" max="59" width="3.7109375" style="23" hidden="1" customWidth="1"/>
    <col min="60" max="60" width="16.28125" style="23" hidden="1" customWidth="1"/>
    <col min="61" max="62" width="29.8515625" style="25" hidden="1" customWidth="1"/>
    <col min="63" max="63" width="10.7109375" style="22" hidden="1" customWidth="1"/>
    <col min="64" max="64" width="13.8515625" style="28" hidden="1" customWidth="1"/>
    <col min="65" max="66" width="10.7109375" style="28" hidden="1" customWidth="1"/>
    <col min="67" max="67" width="10.7109375" style="26" hidden="1" customWidth="1"/>
    <col min="68" max="69" width="10.7109375" style="27" hidden="1" customWidth="1"/>
    <col min="70" max="70" width="10.7109375" style="28" hidden="1" customWidth="1"/>
    <col min="71" max="71" width="10.7109375" style="30" hidden="1" customWidth="1"/>
    <col min="72" max="72" width="14.57421875" style="28" hidden="1" customWidth="1"/>
    <col min="73" max="73" width="15.8515625" style="40" hidden="1" customWidth="1"/>
    <col min="74" max="76" width="10.7109375" style="28" hidden="1" customWidth="1"/>
    <col min="77" max="77" width="10.7109375" style="30" hidden="1" customWidth="1"/>
    <col min="78" max="78" width="26.8515625" style="15" hidden="1" customWidth="1"/>
    <col min="79" max="79" width="28.00390625" style="20" hidden="1" customWidth="1"/>
    <col min="80" max="80" width="27.28125" style="20" hidden="1" customWidth="1"/>
    <col min="81" max="83" width="13.7109375" style="20" hidden="1" customWidth="1"/>
    <col min="84" max="84" width="13.7109375" style="15" hidden="1" customWidth="1"/>
    <col min="85" max="88" width="13.7109375" style="20" hidden="1" customWidth="1"/>
    <col min="89" max="91" width="13.7109375" style="15" hidden="1" customWidth="1"/>
    <col min="92" max="95" width="10.7109375" style="15" hidden="1" customWidth="1"/>
    <col min="96" max="16384" width="10.7109375" style="15" hidden="1" customWidth="1"/>
  </cols>
  <sheetData>
    <row r="1" spans="1:117" ht="8.25" customHeight="1" thickBot="1">
      <c r="A1" s="1"/>
      <c r="B1" s="2"/>
      <c r="C1" s="2"/>
      <c r="D1" s="2"/>
      <c r="E1" s="3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4"/>
      <c r="V1" s="4"/>
      <c r="W1" s="4"/>
      <c r="X1" s="2"/>
      <c r="Y1" s="2"/>
      <c r="Z1" s="2"/>
      <c r="AA1" s="2"/>
      <c r="AB1" s="2"/>
      <c r="AC1" s="2"/>
      <c r="AD1" s="2"/>
      <c r="AE1" s="5"/>
      <c r="AF1" s="2"/>
      <c r="AG1" s="2"/>
      <c r="AH1" s="41"/>
      <c r="AI1" s="2"/>
      <c r="AJ1" s="18"/>
      <c r="AK1" s="18"/>
      <c r="AL1" s="18"/>
      <c r="AM1" s="18"/>
      <c r="AN1" s="18"/>
      <c r="AO1" s="18"/>
      <c r="AP1" s="18"/>
      <c r="AQ1" s="6"/>
      <c r="AR1" s="6"/>
      <c r="AS1" s="6"/>
      <c r="AT1" s="6"/>
      <c r="AU1" s="6"/>
      <c r="AV1" s="6"/>
      <c r="AW1" s="6"/>
      <c r="AX1" s="6"/>
      <c r="AY1" s="7"/>
      <c r="AZ1" s="8" t="s">
        <v>5</v>
      </c>
      <c r="BA1" s="8" t="s">
        <v>118</v>
      </c>
      <c r="BB1" s="8" t="s">
        <v>86</v>
      </c>
      <c r="BC1" s="8" t="s">
        <v>81</v>
      </c>
      <c r="BD1" s="9" t="s">
        <v>82</v>
      </c>
      <c r="BE1" s="9" t="s">
        <v>83</v>
      </c>
      <c r="BF1" s="9" t="s">
        <v>84</v>
      </c>
      <c r="BG1" s="9" t="s">
        <v>85</v>
      </c>
      <c r="BH1" s="9" t="s">
        <v>91</v>
      </c>
      <c r="BI1" s="24" t="s">
        <v>92</v>
      </c>
      <c r="BJ1" s="24" t="s">
        <v>93</v>
      </c>
      <c r="BK1" s="10" t="s">
        <v>6</v>
      </c>
      <c r="BL1" s="10" t="s">
        <v>7</v>
      </c>
      <c r="BM1" s="10" t="s">
        <v>9</v>
      </c>
      <c r="BN1" s="10"/>
      <c r="BO1" s="11"/>
      <c r="BP1" s="12" t="s">
        <v>8</v>
      </c>
      <c r="BQ1" s="12" t="s">
        <v>63</v>
      </c>
      <c r="BR1" s="10" t="s">
        <v>62</v>
      </c>
      <c r="BS1" s="37">
        <v>1</v>
      </c>
      <c r="BT1" s="7"/>
      <c r="BU1" s="38"/>
      <c r="BV1" s="10" t="s">
        <v>4</v>
      </c>
      <c r="BW1" s="10" t="s">
        <v>9</v>
      </c>
      <c r="BX1" s="10"/>
      <c r="BY1" s="44" t="s">
        <v>10</v>
      </c>
      <c r="BZ1" s="14"/>
      <c r="CA1" s="13"/>
      <c r="CB1" s="13"/>
      <c r="CC1" s="13"/>
      <c r="CD1" s="13"/>
      <c r="CE1" s="13"/>
      <c r="CF1" s="14"/>
      <c r="CG1" s="13"/>
      <c r="CH1" s="13"/>
      <c r="CI1" s="13"/>
      <c r="CJ1" s="13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</row>
    <row r="2" spans="1:177" ht="32.25" customHeight="1" thickBot="1">
      <c r="A2" s="1"/>
      <c r="B2" s="145" t="s">
        <v>129</v>
      </c>
      <c r="C2" s="146" t="s">
        <v>130</v>
      </c>
      <c r="D2" s="74" t="s">
        <v>136</v>
      </c>
      <c r="E2" s="199" t="s">
        <v>137</v>
      </c>
      <c r="F2" s="102" t="s">
        <v>56</v>
      </c>
      <c r="G2" s="147" t="s">
        <v>118</v>
      </c>
      <c r="H2" s="148" t="s">
        <v>86</v>
      </c>
      <c r="I2" s="148" t="s">
        <v>81</v>
      </c>
      <c r="J2" s="148" t="s">
        <v>82</v>
      </c>
      <c r="K2" s="148" t="s">
        <v>131</v>
      </c>
      <c r="L2" s="148" t="s">
        <v>84</v>
      </c>
      <c r="M2" s="149" t="s">
        <v>85</v>
      </c>
      <c r="N2" s="69" t="s">
        <v>128</v>
      </c>
      <c r="O2" s="69" t="s">
        <v>91</v>
      </c>
      <c r="P2" s="69" t="s">
        <v>92</v>
      </c>
      <c r="Q2" s="69" t="s">
        <v>93</v>
      </c>
      <c r="R2" s="69" t="s">
        <v>140</v>
      </c>
      <c r="S2" s="240" t="s">
        <v>35</v>
      </c>
      <c r="T2" s="241"/>
      <c r="U2" s="238" t="s">
        <v>55</v>
      </c>
      <c r="V2" s="239"/>
      <c r="W2" s="239"/>
      <c r="X2" s="70" t="s">
        <v>51</v>
      </c>
      <c r="Y2" s="71" t="s">
        <v>52</v>
      </c>
      <c r="Z2" s="72" t="s">
        <v>53</v>
      </c>
      <c r="AA2" s="72" t="s">
        <v>54</v>
      </c>
      <c r="AB2" s="73" t="s">
        <v>1</v>
      </c>
      <c r="AC2" s="202" t="s">
        <v>139</v>
      </c>
      <c r="AD2" s="74" t="s">
        <v>33</v>
      </c>
      <c r="AE2" s="74" t="s">
        <v>2</v>
      </c>
      <c r="AF2" s="75" t="s">
        <v>12</v>
      </c>
      <c r="AG2" s="75" t="s">
        <v>32</v>
      </c>
      <c r="AH2" s="76" t="s">
        <v>250</v>
      </c>
      <c r="AI2" s="57"/>
      <c r="AJ2" s="49"/>
      <c r="AK2" s="49"/>
      <c r="AL2" s="49"/>
      <c r="AM2" s="49"/>
      <c r="AN2" s="49"/>
      <c r="AO2" s="49"/>
      <c r="AP2" s="18"/>
      <c r="AQ2" s="16" t="s">
        <v>21</v>
      </c>
      <c r="AR2" s="16" t="s">
        <v>0</v>
      </c>
      <c r="AS2" s="16" t="s">
        <v>13</v>
      </c>
      <c r="AT2" s="16" t="s">
        <v>14</v>
      </c>
      <c r="AU2" s="16" t="s">
        <v>15</v>
      </c>
      <c r="AV2" s="16" t="s">
        <v>15</v>
      </c>
      <c r="AW2" s="16" t="s">
        <v>15</v>
      </c>
      <c r="AX2" s="17"/>
      <c r="AZ2" s="56">
        <v>1</v>
      </c>
      <c r="BA2" s="56">
        <v>2</v>
      </c>
      <c r="BB2" s="56">
        <v>3</v>
      </c>
      <c r="BC2" s="56">
        <v>4</v>
      </c>
      <c r="BD2" s="56">
        <v>5</v>
      </c>
      <c r="BE2" s="56">
        <v>6</v>
      </c>
      <c r="BF2" s="56">
        <v>7</v>
      </c>
      <c r="BG2" s="56">
        <v>8</v>
      </c>
      <c r="BH2" s="56">
        <v>9</v>
      </c>
      <c r="BI2" s="56">
        <v>10</v>
      </c>
      <c r="BJ2" s="56">
        <v>11</v>
      </c>
      <c r="BK2" s="56">
        <v>12</v>
      </c>
      <c r="BL2" s="56">
        <v>13</v>
      </c>
      <c r="BM2" s="56">
        <v>14</v>
      </c>
      <c r="BN2" s="22"/>
      <c r="BO2" s="11">
        <v>1</v>
      </c>
      <c r="BP2" s="12" t="s">
        <v>67</v>
      </c>
      <c r="BQ2" s="12"/>
      <c r="BR2" s="10"/>
      <c r="BS2" s="37">
        <f aca="true" t="shared" si="0" ref="BS2:BS12">IF(BT2="","",BS1+1)</f>
        <v>2</v>
      </c>
      <c r="BT2" s="7" t="str">
        <f aca="true" t="shared" si="1" ref="BT2:BT18">IF(BU2=0,"",BU2)</f>
        <v>Grogan wih Desolator</v>
      </c>
      <c r="BU2" s="38" t="str">
        <f>HLOOKUP(O$23,BZ$2:CL$17,2,FALSE)</f>
        <v>Grogan wih Desolator</v>
      </c>
      <c r="BV2" s="10">
        <f aca="true" t="shared" si="2" ref="BV2:BV18">IF(BU2=0,"",COUNTIF($E$3:$E$17,BU2))</f>
        <v>1</v>
      </c>
      <c r="BW2" s="10" t="str">
        <f aca="true" t="shared" si="3" ref="BW2:BW15">IF(BU2=0,"",VLOOKUP(BT2,$AZ:$BN,10,FALSE))</f>
        <v>Tough</v>
      </c>
      <c r="BX2" s="10"/>
      <c r="BY2" s="28" t="s">
        <v>11</v>
      </c>
      <c r="BZ2" s="36" t="s">
        <v>67</v>
      </c>
      <c r="CA2" s="35" t="s">
        <v>141</v>
      </c>
      <c r="CB2" s="35" t="s">
        <v>142</v>
      </c>
      <c r="CC2" s="35" t="s">
        <v>16</v>
      </c>
      <c r="CD2" s="35" t="s">
        <v>143</v>
      </c>
      <c r="CE2" s="35" t="s">
        <v>143</v>
      </c>
      <c r="CF2" s="36" t="s">
        <v>143</v>
      </c>
      <c r="CG2" s="35" t="s">
        <v>143</v>
      </c>
      <c r="CH2" s="35" t="s">
        <v>143</v>
      </c>
      <c r="CI2" s="35" t="s">
        <v>143</v>
      </c>
      <c r="CJ2" s="35" t="s">
        <v>143</v>
      </c>
      <c r="CK2" s="36" t="s">
        <v>143</v>
      </c>
      <c r="CL2" s="36" t="s">
        <v>22</v>
      </c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FU2" s="22"/>
    </row>
    <row r="3" spans="1:177" ht="18" customHeight="1" thickBot="1">
      <c r="A3" s="1"/>
      <c r="B3" s="100"/>
      <c r="C3" s="100"/>
      <c r="D3" s="99"/>
      <c r="E3" s="61" t="str">
        <f aca="true" t="shared" si="4" ref="E3:E22">IF(AP3&lt;=1,"",VLOOKUP(AP3,BS$1:BT$65536,2,FALSE))</f>
        <v>Rebel Commander</v>
      </c>
      <c r="F3" s="103" t="str">
        <f>IF(LEFT(E3,1)="*","Yes","No")</f>
        <v>No</v>
      </c>
      <c r="G3" s="135" t="str">
        <f aca="true" t="shared" si="5" ref="G3:G22">IF($E3="","",VLOOKUP($E3,$AZ:$BK,2,FALSE))</f>
        <v>L</v>
      </c>
      <c r="H3" s="136">
        <f aca="true" t="shared" si="6" ref="H3:H22">IF($E3="","",VLOOKUP($E3,$AZ:$BK,3,FALSE))</f>
        <v>1</v>
      </c>
      <c r="I3" s="136">
        <f aca="true" t="shared" si="7" ref="I3:I22">IF($E3="","",VLOOKUP($E3,$AZ:$BK,4,FALSE))</f>
        <v>5</v>
      </c>
      <c r="J3" s="136">
        <f aca="true" t="shared" si="8" ref="J3:J22">IF($E3="","",VLOOKUP($E3,$AZ:$BK,5,FALSE))</f>
        <v>5</v>
      </c>
      <c r="K3" s="137">
        <f aca="true" t="shared" si="9" ref="K3:K22">IF($E3="","",VLOOKUP($E3,$AZ:$BK,6,FALSE))</f>
        <v>5</v>
      </c>
      <c r="L3" s="136">
        <f aca="true" t="shared" si="10" ref="L3:L22">IF($E3="","",VLOOKUP($E3,$AZ:$BK,7,FALSE))</f>
        <v>1</v>
      </c>
      <c r="M3" s="138" t="str">
        <f aca="true" t="shared" si="11" ref="M3:M22">IF($E3="","",VLOOKUP($E3,$AZ:$BK,8,FALSE))</f>
        <v>2-2</v>
      </c>
      <c r="N3" s="138">
        <f aca="true" t="shared" si="12" ref="N3:N22">IF(G3="S",$G$35,IF(G3="U",$G$35,IF(G3="R",$G$35,"")))</f>
      </c>
      <c r="O3" s="62" t="str">
        <f>IF($E3="","",IF($N3="Yes","Need More Troopers",VLOOKUP($E3,$AZ:$BK,9,FALSE)))</f>
        <v>Any   </v>
      </c>
      <c r="P3" s="62" t="str">
        <f aca="true" t="shared" si="13" ref="P3:P22">IF($E3="","",IF($N3="Yes","Need More Troopers",VLOOKUP($E3,$AZ:$BK,10,FALSE)))</f>
        <v>Strategist, Marksman</v>
      </c>
      <c r="Q3" s="62" t="str">
        <f aca="true" t="shared" si="14" ref="Q3:Q22">IF($E3="","",IF($N3="Yes","Need More Troopers",VLOOKUP($E3,$AZ:$BK,11,FALSE)))</f>
        <v>Sniper Rifle, Energy Shield [3], Pistol</v>
      </c>
      <c r="R3" s="63">
        <f>IF(E3="","",IF(AF29="ERROR","This player cannot be a keeper",AH3))</f>
      </c>
      <c r="S3" s="234" t="str">
        <f>IF(AD3="MVP","N/A",IF(AD3&gt;=27,"7",IF(AD3&gt;=20,"6",IF(AD3&gt;=14,"5",IF(AD3&gt;=9,"4",IF(AD3&gt;=5,"3",IF(AD3&gt;=2,"2","1")))))))</f>
        <v>1</v>
      </c>
      <c r="T3" s="235"/>
      <c r="U3" s="86"/>
      <c r="V3" s="82"/>
      <c r="W3" s="87"/>
      <c r="X3" s="79"/>
      <c r="Y3" s="80"/>
      <c r="Z3" s="79"/>
      <c r="AA3" s="80"/>
      <c r="AB3" s="81"/>
      <c r="AC3" s="200">
        <f>VLOOKUP(AJ3,$AJ$33:$AK$37,2,FALSE)</f>
        <v>0</v>
      </c>
      <c r="AD3" s="64">
        <f aca="true" t="shared" si="15" ref="AD3:AD18">IF(LEFT(E3,1)="*","MVP",X3+Y3+Z3+AA3+AB3+AG3)</f>
        <v>0</v>
      </c>
      <c r="AE3" s="88">
        <f aca="true" t="shared" si="16" ref="AE3:AE22">IF(E3&lt;&gt;"",VLOOKUP(E3,AZ$1:BK$65536,12,FALSE),0)+IF(E3&lt;&gt;"",AC3,0)</f>
        <v>16</v>
      </c>
      <c r="AF3" s="105"/>
      <c r="AG3" s="106"/>
      <c r="AH3" s="65">
        <f aca="true" t="shared" si="17" ref="AH3:AH22">IF(AJ3&gt;1,VLOOKUP(AJ3,$AO$33:$AS$88,5),"")</f>
      </c>
      <c r="AI3" s="46"/>
      <c r="AJ3" s="58">
        <v>1</v>
      </c>
      <c r="AK3" s="58">
        <v>1</v>
      </c>
      <c r="AL3" s="58">
        <v>1</v>
      </c>
      <c r="AM3" s="58">
        <v>1</v>
      </c>
      <c r="AN3" s="58">
        <v>1</v>
      </c>
      <c r="AO3" s="58">
        <v>1</v>
      </c>
      <c r="AP3" s="21">
        <v>6</v>
      </c>
      <c r="AQ3" s="17" t="str">
        <f aca="true" t="shared" si="18" ref="AQ3:AQ22">VLOOKUP($E3,$AZ:$BM,2,FALSE)</f>
        <v>L</v>
      </c>
      <c r="AR3" s="17">
        <f aca="true" t="shared" si="19" ref="AR3:AR22">VLOOKUP($E3,$AZ:$BM,3,FALSE)</f>
        <v>1</v>
      </c>
      <c r="AS3" s="17">
        <f aca="true" t="shared" si="20" ref="AS3:AS22">VLOOKUP($E3,$AZ:$BM,4,FALSE)</f>
        <v>5</v>
      </c>
      <c r="AT3" s="17">
        <f aca="true" t="shared" si="21" ref="AT3:AT22">VLOOKUP($E3,$AZ:$BM,5,FALSE)</f>
        <v>5</v>
      </c>
      <c r="AU3" s="17">
        <f aca="true" t="shared" si="22" ref="AU3:AU22">VLOOKUP($E3,$AZ:$BM,6,FALSE)</f>
        <v>5</v>
      </c>
      <c r="AV3" s="17">
        <f aca="true" t="shared" si="23" ref="AV3:AV22">VLOOKUP($E3,$AZ:$BM,7,FALSE)</f>
        <v>1</v>
      </c>
      <c r="AW3" s="17" t="str">
        <f aca="true" t="shared" si="24" ref="AW3:AW22">VLOOKUP($E3,$AZ:$BM,8,FALSE)</f>
        <v>2-2</v>
      </c>
      <c r="AX3" s="45">
        <f aca="true" t="shared" si="25" ref="AX3:AX22">IF(T3&lt;&gt;"",0,(IF(E3&lt;&gt;"",VLOOKUP(E3,AZ$1:BM$65536,8,FALSE)+AF3,0)))</f>
        <v>41307</v>
      </c>
      <c r="AY3" s="7">
        <v>1</v>
      </c>
      <c r="AZ3" s="19" t="s">
        <v>68</v>
      </c>
      <c r="BA3" s="19" t="s">
        <v>126</v>
      </c>
      <c r="BB3" s="19">
        <v>1</v>
      </c>
      <c r="BC3" s="43">
        <v>4</v>
      </c>
      <c r="BD3" s="23">
        <v>6</v>
      </c>
      <c r="BE3" s="23">
        <v>4</v>
      </c>
      <c r="BF3" s="23">
        <v>2</v>
      </c>
      <c r="BG3" s="23" t="s">
        <v>87</v>
      </c>
      <c r="BH3" s="23" t="s">
        <v>94</v>
      </c>
      <c r="BI3" s="127" t="s">
        <v>95</v>
      </c>
      <c r="BJ3" s="128" t="s">
        <v>96</v>
      </c>
      <c r="BK3" s="22">
        <v>10</v>
      </c>
      <c r="BL3" s="22" t="s">
        <v>17</v>
      </c>
      <c r="BM3" s="22">
        <v>6</v>
      </c>
      <c r="BN3" s="22"/>
      <c r="BO3" s="11">
        <v>2</v>
      </c>
      <c r="BP3" s="27" t="s">
        <v>16</v>
      </c>
      <c r="BQ3" s="12"/>
      <c r="BR3" s="10"/>
      <c r="BS3" s="37">
        <f t="shared" si="0"/>
        <v>3</v>
      </c>
      <c r="BT3" s="7" t="str">
        <f>IF(BU3=0,"",BU3)</f>
        <v>Grogan with Onslaught Cannon</v>
      </c>
      <c r="BU3" s="38" t="str">
        <f>HLOOKUP(O$23,BZ$2:CL$17,3,FALSE)</f>
        <v>Grogan with Onslaught Cannon</v>
      </c>
      <c r="BV3" s="10">
        <f t="shared" si="2"/>
        <v>1</v>
      </c>
      <c r="BW3" s="10" t="str">
        <f t="shared" si="3"/>
        <v>Tough</v>
      </c>
      <c r="BX3" s="10"/>
      <c r="BY3" s="11">
        <v>1</v>
      </c>
      <c r="BZ3" s="124" t="s">
        <v>69</v>
      </c>
      <c r="CA3" s="207" t="s">
        <v>150</v>
      </c>
      <c r="CB3" s="205" t="s">
        <v>163</v>
      </c>
      <c r="CC3" s="205" t="s">
        <v>166</v>
      </c>
      <c r="CD3" s="8"/>
      <c r="CE3" s="19"/>
      <c r="CF3" s="8"/>
      <c r="CG3" s="8"/>
      <c r="CH3" s="19"/>
      <c r="CI3" s="8"/>
      <c r="CJ3" s="8"/>
      <c r="CK3" s="19"/>
      <c r="CL3" s="19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FU3" s="22"/>
    </row>
    <row r="4" spans="1:177" ht="18" customHeight="1" thickBot="1">
      <c r="A4" s="1"/>
      <c r="B4" s="101"/>
      <c r="C4" s="101"/>
      <c r="D4" s="99"/>
      <c r="E4" s="61" t="str">
        <f t="shared" si="4"/>
        <v>Grogan with Onslaught Cannon</v>
      </c>
      <c r="F4" s="103" t="str">
        <f aca="true" t="shared" si="26" ref="F4:F18">IF(LEFT(E4,1)="*","Yes","No")</f>
        <v>No</v>
      </c>
      <c r="G4" s="135" t="str">
        <f t="shared" si="5"/>
        <v>S</v>
      </c>
      <c r="H4" s="136">
        <f t="shared" si="6"/>
        <v>1</v>
      </c>
      <c r="I4" s="136">
        <f t="shared" si="7"/>
        <v>5</v>
      </c>
      <c r="J4" s="136">
        <f t="shared" si="8"/>
        <v>5</v>
      </c>
      <c r="K4" s="137">
        <f t="shared" si="9"/>
        <v>5</v>
      </c>
      <c r="L4" s="136">
        <f t="shared" si="10"/>
        <v>1</v>
      </c>
      <c r="M4" s="138" t="str">
        <f t="shared" si="11"/>
        <v>1-1</v>
      </c>
      <c r="N4" s="138" t="str">
        <f t="shared" si="12"/>
        <v>No</v>
      </c>
      <c r="O4" s="62" t="str">
        <f aca="true" t="shared" si="27" ref="O4:O22">IF(E4="","",IF($N4="Yes","Need More Troopers",VLOOKUP($E4,$AZ:$BK,9,FALSE)))</f>
        <v>Blaze Away</v>
      </c>
      <c r="P4" s="62" t="str">
        <f t="shared" si="13"/>
        <v>Tough</v>
      </c>
      <c r="Q4" s="62" t="str">
        <f t="shared" si="14"/>
        <v>Onslaught Cannon</v>
      </c>
      <c r="R4" s="63">
        <f aca="true" t="shared" si="28" ref="R4:R22">IF(E4="","",IF(AF30="ERROR","This player cannot be a keeper",AH4))</f>
      </c>
      <c r="S4" s="234" t="str">
        <f aca="true" t="shared" si="29" ref="S4:S18">IF(AD4="MVP","N/A",IF(AD4&gt;=27,"7",IF(AD4&gt;=20,"6",IF(AD4&gt;=14,"5",IF(AD4&gt;=9,"4",IF(AD4&gt;=5,"3",IF(AD4&gt;=2,"2","1")))))))</f>
        <v>1</v>
      </c>
      <c r="T4" s="235"/>
      <c r="U4" s="86"/>
      <c r="V4" s="82"/>
      <c r="W4" s="87"/>
      <c r="X4" s="83"/>
      <c r="Y4" s="84"/>
      <c r="Z4" s="83"/>
      <c r="AA4" s="84"/>
      <c r="AB4" s="85"/>
      <c r="AC4" s="200">
        <f aca="true" t="shared" si="30" ref="AC4:AC22">VLOOKUP(AJ4,$AJ$33:$AK$37,2,FALSE)</f>
        <v>0</v>
      </c>
      <c r="AD4" s="64">
        <f t="shared" si="15"/>
        <v>0</v>
      </c>
      <c r="AE4" s="88">
        <f t="shared" si="16"/>
        <v>10</v>
      </c>
      <c r="AF4" s="105"/>
      <c r="AG4" s="106"/>
      <c r="AH4" s="65">
        <f t="shared" si="17"/>
      </c>
      <c r="AI4" s="46"/>
      <c r="AJ4" s="58">
        <v>1</v>
      </c>
      <c r="AK4" s="58">
        <v>1</v>
      </c>
      <c r="AL4" s="58">
        <v>1</v>
      </c>
      <c r="AM4" s="58">
        <v>1</v>
      </c>
      <c r="AN4" s="58">
        <v>1</v>
      </c>
      <c r="AO4" s="58">
        <v>1</v>
      </c>
      <c r="AP4" s="21">
        <v>3</v>
      </c>
      <c r="AQ4" s="17" t="str">
        <f t="shared" si="18"/>
        <v>S</v>
      </c>
      <c r="AR4" s="17">
        <f t="shared" si="19"/>
        <v>1</v>
      </c>
      <c r="AS4" s="17">
        <f t="shared" si="20"/>
        <v>5</v>
      </c>
      <c r="AT4" s="17">
        <f t="shared" si="21"/>
        <v>5</v>
      </c>
      <c r="AU4" s="17">
        <f t="shared" si="22"/>
        <v>5</v>
      </c>
      <c r="AV4" s="17">
        <f t="shared" si="23"/>
        <v>1</v>
      </c>
      <c r="AW4" s="17" t="str">
        <f t="shared" si="24"/>
        <v>1-1</v>
      </c>
      <c r="AX4" s="45">
        <f t="shared" si="25"/>
        <v>41275</v>
      </c>
      <c r="AY4" s="7">
        <f aca="true" t="shared" si="31" ref="AY4:AY41">IF(AZ4="","",AY3+1)</f>
        <v>2</v>
      </c>
      <c r="AZ4" s="19" t="s">
        <v>69</v>
      </c>
      <c r="BA4" s="19" t="s">
        <v>126</v>
      </c>
      <c r="BB4" s="19">
        <v>1</v>
      </c>
      <c r="BC4" s="43">
        <v>5</v>
      </c>
      <c r="BD4" s="23">
        <v>5</v>
      </c>
      <c r="BE4" s="23">
        <v>4</v>
      </c>
      <c r="BF4" s="23">
        <v>2</v>
      </c>
      <c r="BG4" s="23" t="s">
        <v>87</v>
      </c>
      <c r="BH4" s="23" t="s">
        <v>97</v>
      </c>
      <c r="BI4" s="129" t="s">
        <v>98</v>
      </c>
      <c r="BJ4" s="130" t="s">
        <v>99</v>
      </c>
      <c r="BK4" s="22">
        <v>10</v>
      </c>
      <c r="BL4" s="22" t="s">
        <v>18</v>
      </c>
      <c r="BM4" s="22">
        <v>4</v>
      </c>
      <c r="BN4" s="22"/>
      <c r="BO4" s="11">
        <v>3</v>
      </c>
      <c r="BP4" s="12" t="s">
        <v>141</v>
      </c>
      <c r="BQ4" s="12"/>
      <c r="BR4" s="10"/>
      <c r="BS4" s="37">
        <f t="shared" si="0"/>
        <v>4</v>
      </c>
      <c r="BT4" s="7" t="str">
        <f t="shared" si="1"/>
        <v>Judwan Medic</v>
      </c>
      <c r="BU4" s="38" t="str">
        <f>HLOOKUP(O$23,BZ$2:CL$17,4,FALSE)</f>
        <v>Judwan Medic</v>
      </c>
      <c r="BV4" s="10">
        <f t="shared" si="2"/>
        <v>0</v>
      </c>
      <c r="BW4" s="10" t="str">
        <f t="shared" si="3"/>
        <v>Non-combatant, Medic</v>
      </c>
      <c r="BX4" s="10"/>
      <c r="BY4" s="11">
        <v>2</v>
      </c>
      <c r="BZ4" s="125" t="s">
        <v>68</v>
      </c>
      <c r="CA4" s="207" t="s">
        <v>151</v>
      </c>
      <c r="CB4" s="204" t="s">
        <v>162</v>
      </c>
      <c r="CC4" s="204" t="s">
        <v>173</v>
      </c>
      <c r="CD4" s="19"/>
      <c r="CE4" s="19"/>
      <c r="CF4" s="19"/>
      <c r="CG4" s="19"/>
      <c r="CH4" s="19"/>
      <c r="CI4" s="8"/>
      <c r="CJ4" s="8"/>
      <c r="CK4" s="19"/>
      <c r="CL4" s="19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FU4" s="22"/>
    </row>
    <row r="5" spans="1:177" ht="18" customHeight="1" thickBot="1">
      <c r="A5" s="1"/>
      <c r="B5" s="100"/>
      <c r="C5" s="100"/>
      <c r="D5" s="99"/>
      <c r="E5" s="61" t="str">
        <f t="shared" si="4"/>
        <v>Grogan wih Desolator</v>
      </c>
      <c r="F5" s="103" t="str">
        <f t="shared" si="26"/>
        <v>No</v>
      </c>
      <c r="G5" s="135" t="str">
        <f t="shared" si="5"/>
        <v>S</v>
      </c>
      <c r="H5" s="136">
        <f t="shared" si="6"/>
        <v>1</v>
      </c>
      <c r="I5" s="136">
        <f t="shared" si="7"/>
        <v>5</v>
      </c>
      <c r="J5" s="136">
        <f t="shared" si="8"/>
        <v>5</v>
      </c>
      <c r="K5" s="137">
        <f t="shared" si="9"/>
        <v>5</v>
      </c>
      <c r="L5" s="136">
        <f t="shared" si="10"/>
        <v>1</v>
      </c>
      <c r="M5" s="138" t="str">
        <f t="shared" si="11"/>
        <v>1-1</v>
      </c>
      <c r="N5" s="138" t="str">
        <f t="shared" si="12"/>
        <v>No</v>
      </c>
      <c r="O5" s="62" t="str">
        <f t="shared" si="27"/>
        <v>Shoot</v>
      </c>
      <c r="P5" s="62" t="str">
        <f t="shared" si="13"/>
        <v>Tough</v>
      </c>
      <c r="Q5" s="62" t="str">
        <f t="shared" si="14"/>
        <v>Desolator</v>
      </c>
      <c r="R5" s="63">
        <f t="shared" si="28"/>
      </c>
      <c r="S5" s="234" t="str">
        <f t="shared" si="29"/>
        <v>1</v>
      </c>
      <c r="T5" s="235"/>
      <c r="U5" s="86"/>
      <c r="V5" s="82"/>
      <c r="W5" s="87"/>
      <c r="X5" s="83"/>
      <c r="Y5" s="84"/>
      <c r="Z5" s="83"/>
      <c r="AA5" s="84"/>
      <c r="AB5" s="85"/>
      <c r="AC5" s="200">
        <f t="shared" si="30"/>
        <v>0</v>
      </c>
      <c r="AD5" s="64">
        <f t="shared" si="15"/>
        <v>0</v>
      </c>
      <c r="AE5" s="88">
        <f t="shared" si="16"/>
        <v>12</v>
      </c>
      <c r="AF5" s="105"/>
      <c r="AG5" s="106"/>
      <c r="AH5" s="65">
        <f t="shared" si="17"/>
      </c>
      <c r="AI5" s="46"/>
      <c r="AJ5" s="58">
        <v>1</v>
      </c>
      <c r="AK5" s="58">
        <v>1</v>
      </c>
      <c r="AL5" s="58">
        <v>1</v>
      </c>
      <c r="AM5" s="58">
        <v>1</v>
      </c>
      <c r="AN5" s="58">
        <v>1</v>
      </c>
      <c r="AO5" s="58">
        <v>1</v>
      </c>
      <c r="AP5" s="21">
        <v>2</v>
      </c>
      <c r="AQ5" s="17" t="str">
        <f t="shared" si="18"/>
        <v>S</v>
      </c>
      <c r="AR5" s="17">
        <f t="shared" si="19"/>
        <v>1</v>
      </c>
      <c r="AS5" s="17">
        <f t="shared" si="20"/>
        <v>5</v>
      </c>
      <c r="AT5" s="17">
        <f t="shared" si="21"/>
        <v>5</v>
      </c>
      <c r="AU5" s="17">
        <f t="shared" si="22"/>
        <v>5</v>
      </c>
      <c r="AV5" s="17">
        <f t="shared" si="23"/>
        <v>1</v>
      </c>
      <c r="AW5" s="17" t="str">
        <f t="shared" si="24"/>
        <v>1-1</v>
      </c>
      <c r="AX5" s="45">
        <f t="shared" si="25"/>
        <v>41275</v>
      </c>
      <c r="AY5" s="7">
        <f t="shared" si="31"/>
        <v>3</v>
      </c>
      <c r="AZ5" s="19" t="s">
        <v>70</v>
      </c>
      <c r="BA5" s="19" t="s">
        <v>119</v>
      </c>
      <c r="BB5" s="19">
        <v>1</v>
      </c>
      <c r="BC5" s="43">
        <v>4</v>
      </c>
      <c r="BD5" s="23">
        <v>6</v>
      </c>
      <c r="BE5" s="23">
        <v>4</v>
      </c>
      <c r="BF5" s="23">
        <v>2</v>
      </c>
      <c r="BG5" s="23" t="s">
        <v>87</v>
      </c>
      <c r="BH5" s="23" t="s">
        <v>100</v>
      </c>
      <c r="BI5" s="131" t="s">
        <v>95</v>
      </c>
      <c r="BJ5" s="132" t="s">
        <v>101</v>
      </c>
      <c r="BK5" s="22">
        <v>10</v>
      </c>
      <c r="BL5" s="22" t="s">
        <v>18</v>
      </c>
      <c r="BM5" s="22">
        <v>6</v>
      </c>
      <c r="BN5" s="22"/>
      <c r="BO5" s="11">
        <v>4</v>
      </c>
      <c r="BP5" s="12" t="s">
        <v>142</v>
      </c>
      <c r="BR5" s="10"/>
      <c r="BS5" s="37">
        <f t="shared" si="0"/>
        <v>5</v>
      </c>
      <c r="BT5" s="7" t="str">
        <f t="shared" si="1"/>
        <v>Kraaw Warrior</v>
      </c>
      <c r="BU5" s="38" t="str">
        <f>HLOOKUP(O$23,BZ$2:CL$17,5,FALSE)</f>
        <v>Kraaw Warrior</v>
      </c>
      <c r="BV5" s="10">
        <f t="shared" si="2"/>
        <v>0</v>
      </c>
      <c r="BW5" s="10" t="str">
        <f t="shared" si="3"/>
        <v>Scout, Glide</v>
      </c>
      <c r="BX5" s="10"/>
      <c r="BY5" s="11">
        <v>3</v>
      </c>
      <c r="BZ5" s="125" t="s">
        <v>75</v>
      </c>
      <c r="CA5" s="207" t="s">
        <v>152</v>
      </c>
      <c r="CB5" s="204" t="s">
        <v>161</v>
      </c>
      <c r="CC5" s="204" t="s">
        <v>169</v>
      </c>
      <c r="CD5" s="8"/>
      <c r="CE5" s="19"/>
      <c r="CF5" s="8"/>
      <c r="CG5" s="19"/>
      <c r="CH5" s="19"/>
      <c r="CI5" s="8"/>
      <c r="CJ5" s="8"/>
      <c r="CK5" s="19"/>
      <c r="CL5" s="19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FU5" s="22"/>
    </row>
    <row r="6" spans="1:177" ht="18" customHeight="1" thickBot="1">
      <c r="A6" s="1"/>
      <c r="B6" s="101"/>
      <c r="C6" s="101"/>
      <c r="D6" s="99"/>
      <c r="E6" s="61" t="str">
        <f t="shared" si="4"/>
        <v>Teraton</v>
      </c>
      <c r="F6" s="103" t="str">
        <f t="shared" si="26"/>
        <v>No</v>
      </c>
      <c r="G6" s="135" t="str">
        <f t="shared" si="5"/>
        <v>S</v>
      </c>
      <c r="H6" s="136">
        <f t="shared" si="6"/>
        <v>3</v>
      </c>
      <c r="I6" s="136">
        <f t="shared" si="7"/>
        <v>6</v>
      </c>
      <c r="J6" s="136">
        <f t="shared" si="8"/>
        <v>4</v>
      </c>
      <c r="K6" s="137">
        <f t="shared" si="9"/>
        <v>5</v>
      </c>
      <c r="L6" s="136">
        <f t="shared" si="10"/>
        <v>2</v>
      </c>
      <c r="M6" s="138" t="str">
        <f t="shared" si="11"/>
        <v>1-1</v>
      </c>
      <c r="N6" s="138" t="str">
        <f t="shared" si="12"/>
        <v>No</v>
      </c>
      <c r="O6" s="62" t="str">
        <f t="shared" si="27"/>
        <v>Move</v>
      </c>
      <c r="P6" s="62" t="str">
        <f t="shared" si="13"/>
        <v>Teleport, Brawler, Tough</v>
      </c>
      <c r="Q6" s="62" t="str">
        <f t="shared" si="14"/>
        <v>Ceremonial Blades, Grenade Launcher, Hand Flamer</v>
      </c>
      <c r="R6" s="63">
        <f t="shared" si="28"/>
      </c>
      <c r="S6" s="234" t="str">
        <f t="shared" si="29"/>
        <v>1</v>
      </c>
      <c r="T6" s="235"/>
      <c r="U6" s="86"/>
      <c r="V6" s="82"/>
      <c r="W6" s="87"/>
      <c r="X6" s="83"/>
      <c r="Y6" s="84"/>
      <c r="Z6" s="83"/>
      <c r="AA6" s="84"/>
      <c r="AB6" s="85"/>
      <c r="AC6" s="200">
        <f t="shared" si="30"/>
        <v>0</v>
      </c>
      <c r="AD6" s="64">
        <f t="shared" si="15"/>
        <v>0</v>
      </c>
      <c r="AE6" s="88">
        <f t="shared" si="16"/>
        <v>21</v>
      </c>
      <c r="AF6" s="105"/>
      <c r="AG6" s="106"/>
      <c r="AH6" s="65">
        <f t="shared" si="17"/>
      </c>
      <c r="AI6" s="46"/>
      <c r="AJ6" s="58">
        <v>1</v>
      </c>
      <c r="AK6" s="58">
        <v>1</v>
      </c>
      <c r="AL6" s="58">
        <v>1</v>
      </c>
      <c r="AM6" s="58">
        <v>1</v>
      </c>
      <c r="AN6" s="58">
        <v>1</v>
      </c>
      <c r="AO6" s="58">
        <v>1</v>
      </c>
      <c r="AP6" s="21">
        <v>12</v>
      </c>
      <c r="AQ6" s="17" t="str">
        <f t="shared" si="18"/>
        <v>S</v>
      </c>
      <c r="AR6" s="17">
        <f t="shared" si="19"/>
        <v>3</v>
      </c>
      <c r="AS6" s="17">
        <f t="shared" si="20"/>
        <v>6</v>
      </c>
      <c r="AT6" s="17">
        <f t="shared" si="21"/>
        <v>4</v>
      </c>
      <c r="AU6" s="17">
        <f t="shared" si="22"/>
        <v>5</v>
      </c>
      <c r="AV6" s="17">
        <f t="shared" si="23"/>
        <v>2</v>
      </c>
      <c r="AW6" s="17" t="str">
        <f t="shared" si="24"/>
        <v>1-1</v>
      </c>
      <c r="AX6" s="45">
        <f t="shared" si="25"/>
        <v>41275</v>
      </c>
      <c r="AY6" s="7">
        <f t="shared" si="31"/>
        <v>4</v>
      </c>
      <c r="AZ6" s="19" t="s">
        <v>71</v>
      </c>
      <c r="BA6" s="19" t="s">
        <v>119</v>
      </c>
      <c r="BB6" s="19">
        <v>1</v>
      </c>
      <c r="BC6" s="43">
        <v>4</v>
      </c>
      <c r="BD6" s="23">
        <v>6</v>
      </c>
      <c r="BE6" s="23">
        <v>4</v>
      </c>
      <c r="BF6" s="23">
        <v>2</v>
      </c>
      <c r="BG6" s="23" t="s">
        <v>87</v>
      </c>
      <c r="BH6" s="23" t="s">
        <v>102</v>
      </c>
      <c r="BI6" s="131" t="s">
        <v>95</v>
      </c>
      <c r="BJ6" s="132" t="s">
        <v>103</v>
      </c>
      <c r="BK6" s="22">
        <v>10</v>
      </c>
      <c r="BL6" s="22" t="s">
        <v>19</v>
      </c>
      <c r="BM6" s="22">
        <v>6</v>
      </c>
      <c r="BN6" s="43"/>
      <c r="BO6" s="11">
        <v>5</v>
      </c>
      <c r="BP6" s="12"/>
      <c r="BQ6" s="12"/>
      <c r="BR6" s="10"/>
      <c r="BS6" s="37">
        <f t="shared" si="0"/>
        <v>6</v>
      </c>
      <c r="BT6" s="7" t="str">
        <f t="shared" si="1"/>
        <v>Rebel Commander</v>
      </c>
      <c r="BU6" s="38" t="str">
        <f>HLOOKUP(O$23,BZ$2:CL$17,6,FALSE)</f>
        <v>Rebel Commander</v>
      </c>
      <c r="BV6" s="10">
        <f t="shared" si="2"/>
        <v>1</v>
      </c>
      <c r="BW6" s="10" t="str">
        <f t="shared" si="3"/>
        <v>Strategist, Marksman</v>
      </c>
      <c r="BX6" s="10"/>
      <c r="BY6" s="11">
        <v>4</v>
      </c>
      <c r="BZ6" s="125" t="s">
        <v>72</v>
      </c>
      <c r="CA6" s="207" t="s">
        <v>148</v>
      </c>
      <c r="CB6" s="204" t="s">
        <v>157</v>
      </c>
      <c r="CC6" s="204" t="s">
        <v>171</v>
      </c>
      <c r="CD6" s="19"/>
      <c r="CE6" s="19"/>
      <c r="CF6" s="19"/>
      <c r="CG6" s="19"/>
      <c r="CH6" s="19"/>
      <c r="CI6" s="8"/>
      <c r="CJ6" s="8"/>
      <c r="CK6" s="19"/>
      <c r="CL6" s="8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FU6" s="43"/>
    </row>
    <row r="7" spans="1:177" ht="18" customHeight="1" thickBot="1">
      <c r="A7" s="1"/>
      <c r="B7" s="100"/>
      <c r="C7" s="100"/>
      <c r="D7" s="99"/>
      <c r="E7" s="61" t="str">
        <f t="shared" si="4"/>
        <v>Rebel Human</v>
      </c>
      <c r="F7" s="103" t="str">
        <f t="shared" si="26"/>
        <v>No</v>
      </c>
      <c r="G7" s="135" t="str">
        <f t="shared" si="5"/>
        <v>T</v>
      </c>
      <c r="H7" s="136">
        <f t="shared" si="6"/>
        <v>1</v>
      </c>
      <c r="I7" s="136">
        <f t="shared" si="7"/>
        <v>5</v>
      </c>
      <c r="J7" s="136">
        <f t="shared" si="8"/>
        <v>6</v>
      </c>
      <c r="K7" s="137">
        <f t="shared" si="9"/>
        <v>6</v>
      </c>
      <c r="L7" s="136">
        <f t="shared" si="10"/>
        <v>1</v>
      </c>
      <c r="M7" s="138" t="str">
        <f t="shared" si="11"/>
        <v>1-1</v>
      </c>
      <c r="N7" s="138">
        <f t="shared" si="12"/>
      </c>
      <c r="O7" s="62" t="str">
        <f t="shared" si="27"/>
        <v>Any Short</v>
      </c>
      <c r="P7" s="62">
        <f t="shared" si="13"/>
        <v>0</v>
      </c>
      <c r="Q7" s="62" t="str">
        <f t="shared" si="14"/>
        <v>Rifle</v>
      </c>
      <c r="R7" s="63">
        <f t="shared" si="28"/>
      </c>
      <c r="S7" s="234" t="str">
        <f t="shared" si="29"/>
        <v>1</v>
      </c>
      <c r="T7" s="235"/>
      <c r="U7" s="86"/>
      <c r="V7" s="82"/>
      <c r="W7" s="87"/>
      <c r="X7" s="83"/>
      <c r="Y7" s="84"/>
      <c r="Z7" s="83"/>
      <c r="AA7" s="84"/>
      <c r="AB7" s="85"/>
      <c r="AC7" s="200">
        <f t="shared" si="30"/>
        <v>0</v>
      </c>
      <c r="AD7" s="64">
        <f t="shared" si="15"/>
        <v>0</v>
      </c>
      <c r="AE7" s="88">
        <f t="shared" si="16"/>
        <v>4</v>
      </c>
      <c r="AF7" s="105"/>
      <c r="AG7" s="106"/>
      <c r="AH7" s="65">
        <f t="shared" si="17"/>
      </c>
      <c r="AI7" s="46"/>
      <c r="AJ7" s="58">
        <v>1</v>
      </c>
      <c r="AK7" s="58">
        <v>1</v>
      </c>
      <c r="AL7" s="58">
        <v>1</v>
      </c>
      <c r="AM7" s="58">
        <v>1</v>
      </c>
      <c r="AN7" s="58">
        <v>1</v>
      </c>
      <c r="AO7" s="58">
        <v>1</v>
      </c>
      <c r="AP7" s="21">
        <v>7</v>
      </c>
      <c r="AQ7" s="17" t="str">
        <f t="shared" si="18"/>
        <v>T</v>
      </c>
      <c r="AR7" s="17">
        <f t="shared" si="19"/>
        <v>1</v>
      </c>
      <c r="AS7" s="17">
        <f t="shared" si="20"/>
        <v>5</v>
      </c>
      <c r="AT7" s="17">
        <f t="shared" si="21"/>
        <v>6</v>
      </c>
      <c r="AU7" s="17">
        <f t="shared" si="22"/>
        <v>6</v>
      </c>
      <c r="AV7" s="17">
        <f t="shared" si="23"/>
        <v>1</v>
      </c>
      <c r="AW7" s="17" t="str">
        <f t="shared" si="24"/>
        <v>1-1</v>
      </c>
      <c r="AX7" s="45">
        <f t="shared" si="25"/>
        <v>41275</v>
      </c>
      <c r="AY7" s="7">
        <f t="shared" si="31"/>
        <v>5</v>
      </c>
      <c r="AZ7" s="19" t="s">
        <v>72</v>
      </c>
      <c r="BA7" s="19" t="s">
        <v>120</v>
      </c>
      <c r="BB7" s="19">
        <v>1</v>
      </c>
      <c r="BC7" s="43">
        <v>5</v>
      </c>
      <c r="BD7" s="23">
        <v>6</v>
      </c>
      <c r="BE7" s="23">
        <v>4</v>
      </c>
      <c r="BF7" s="23">
        <v>2</v>
      </c>
      <c r="BG7" s="23" t="s">
        <v>87</v>
      </c>
      <c r="BH7" s="23" t="s">
        <v>94</v>
      </c>
      <c r="BI7" s="131" t="s">
        <v>104</v>
      </c>
      <c r="BJ7" s="132" t="s">
        <v>96</v>
      </c>
      <c r="BK7" s="22">
        <v>10</v>
      </c>
      <c r="BL7" s="22" t="s">
        <v>20</v>
      </c>
      <c r="BM7" s="43">
        <v>10</v>
      </c>
      <c r="BN7" s="22"/>
      <c r="BO7" s="11">
        <v>6</v>
      </c>
      <c r="BP7" s="12"/>
      <c r="BQ7" s="12"/>
      <c r="BR7" s="10"/>
      <c r="BS7" s="37">
        <f t="shared" si="0"/>
        <v>7</v>
      </c>
      <c r="BT7" s="7" t="str">
        <f t="shared" si="1"/>
        <v>Rebel Human</v>
      </c>
      <c r="BU7" s="38" t="str">
        <f>HLOOKUP(O$23,BZ$2:CL$17,7,FALSE)</f>
        <v>Rebel Human</v>
      </c>
      <c r="BV7" s="10">
        <f t="shared" si="2"/>
        <v>1</v>
      </c>
      <c r="BW7" s="10">
        <f t="shared" si="3"/>
        <v>0</v>
      </c>
      <c r="BX7" s="10"/>
      <c r="BY7" s="11">
        <v>5</v>
      </c>
      <c r="BZ7" s="125" t="s">
        <v>77</v>
      </c>
      <c r="CA7" s="208" t="s">
        <v>145</v>
      </c>
      <c r="CB7" s="204" t="s">
        <v>165</v>
      </c>
      <c r="CC7" s="204" t="s">
        <v>174</v>
      </c>
      <c r="CD7" s="8"/>
      <c r="CE7" s="8"/>
      <c r="CF7" s="8"/>
      <c r="CG7" s="8"/>
      <c r="CH7" s="8"/>
      <c r="CI7" s="8"/>
      <c r="CJ7" s="19"/>
      <c r="CK7" s="8"/>
      <c r="CL7" s="19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FU7" s="22"/>
    </row>
    <row r="8" spans="1:177" ht="18" customHeight="1" thickBot="1">
      <c r="A8" s="1"/>
      <c r="B8" s="101"/>
      <c r="C8" s="101"/>
      <c r="D8" s="99"/>
      <c r="E8" s="61" t="str">
        <f t="shared" si="4"/>
        <v>Rebel Sorak </v>
      </c>
      <c r="F8" s="103" t="str">
        <f t="shared" si="26"/>
        <v>No</v>
      </c>
      <c r="G8" s="135" t="str">
        <f t="shared" si="5"/>
        <v>T</v>
      </c>
      <c r="H8" s="136">
        <f t="shared" si="6"/>
        <v>1</v>
      </c>
      <c r="I8" s="136">
        <f t="shared" si="7"/>
        <v>5</v>
      </c>
      <c r="J8" s="136">
        <f t="shared" si="8"/>
        <v>6</v>
      </c>
      <c r="K8" s="137">
        <f t="shared" si="9"/>
        <v>6</v>
      </c>
      <c r="L8" s="136">
        <f t="shared" si="10"/>
        <v>1</v>
      </c>
      <c r="M8" s="138" t="str">
        <f t="shared" si="11"/>
        <v>2-1</v>
      </c>
      <c r="N8" s="138">
        <f t="shared" si="12"/>
      </c>
      <c r="O8" s="62" t="str">
        <f t="shared" si="27"/>
        <v>Blaze Away</v>
      </c>
      <c r="P8" s="62">
        <f t="shared" si="13"/>
        <v>0</v>
      </c>
      <c r="Q8" s="62" t="str">
        <f t="shared" si="14"/>
        <v>Blaster</v>
      </c>
      <c r="R8" s="63">
        <f t="shared" si="28"/>
      </c>
      <c r="S8" s="234" t="str">
        <f t="shared" si="29"/>
        <v>1</v>
      </c>
      <c r="T8" s="235"/>
      <c r="U8" s="86"/>
      <c r="V8" s="82"/>
      <c r="W8" s="87"/>
      <c r="X8" s="83"/>
      <c r="Y8" s="84"/>
      <c r="Z8" s="83"/>
      <c r="AA8" s="84"/>
      <c r="AB8" s="85"/>
      <c r="AC8" s="200">
        <f t="shared" si="30"/>
        <v>0</v>
      </c>
      <c r="AD8" s="64">
        <f t="shared" si="15"/>
        <v>0</v>
      </c>
      <c r="AE8" s="88">
        <f t="shared" si="16"/>
        <v>6</v>
      </c>
      <c r="AF8" s="105"/>
      <c r="AG8" s="106"/>
      <c r="AH8" s="65">
        <f t="shared" si="17"/>
      </c>
      <c r="AI8" s="46"/>
      <c r="AJ8" s="58">
        <v>1</v>
      </c>
      <c r="AK8" s="58">
        <v>1</v>
      </c>
      <c r="AL8" s="58">
        <v>1</v>
      </c>
      <c r="AM8" s="58">
        <v>1</v>
      </c>
      <c r="AN8" s="58">
        <v>1</v>
      </c>
      <c r="AO8" s="58">
        <v>1</v>
      </c>
      <c r="AP8" s="21">
        <v>8</v>
      </c>
      <c r="AQ8" s="17" t="str">
        <f t="shared" si="18"/>
        <v>T</v>
      </c>
      <c r="AR8" s="17">
        <f t="shared" si="19"/>
        <v>1</v>
      </c>
      <c r="AS8" s="17">
        <f t="shared" si="20"/>
        <v>5</v>
      </c>
      <c r="AT8" s="17">
        <f t="shared" si="21"/>
        <v>6</v>
      </c>
      <c r="AU8" s="17">
        <f t="shared" si="22"/>
        <v>6</v>
      </c>
      <c r="AV8" s="17">
        <f t="shared" si="23"/>
        <v>1</v>
      </c>
      <c r="AW8" s="17" t="str">
        <f t="shared" si="24"/>
        <v>2-1</v>
      </c>
      <c r="AX8" s="45">
        <f t="shared" si="25"/>
        <v>41276</v>
      </c>
      <c r="AY8" s="7">
        <f t="shared" si="31"/>
        <v>6</v>
      </c>
      <c r="AZ8" s="19" t="s">
        <v>73</v>
      </c>
      <c r="BA8" s="19" t="s">
        <v>119</v>
      </c>
      <c r="BB8" s="19">
        <v>1</v>
      </c>
      <c r="BC8" s="43">
        <v>4</v>
      </c>
      <c r="BD8" s="23">
        <v>6</v>
      </c>
      <c r="BE8" s="23">
        <v>4</v>
      </c>
      <c r="BF8" s="23">
        <v>2</v>
      </c>
      <c r="BG8" s="23" t="s">
        <v>87</v>
      </c>
      <c r="BH8" s="23" t="s">
        <v>102</v>
      </c>
      <c r="BI8" s="131" t="s">
        <v>95</v>
      </c>
      <c r="BJ8" s="132" t="s">
        <v>105</v>
      </c>
      <c r="BK8" s="22">
        <v>11</v>
      </c>
      <c r="BL8" s="22" t="s">
        <v>64</v>
      </c>
      <c r="BM8" s="22">
        <v>12</v>
      </c>
      <c r="BN8" s="22"/>
      <c r="BO8" s="11">
        <v>7</v>
      </c>
      <c r="BP8" s="12"/>
      <c r="BQ8" s="12"/>
      <c r="BR8" s="10"/>
      <c r="BS8" s="37">
        <f t="shared" si="0"/>
        <v>8</v>
      </c>
      <c r="BT8" s="7" t="str">
        <f t="shared" si="1"/>
        <v>Rebel Sorak </v>
      </c>
      <c r="BU8" s="38" t="str">
        <f>HLOOKUP(O$23,BZ$2:CL$17,8,FALSE)</f>
        <v>Rebel Sorak </v>
      </c>
      <c r="BV8" s="10">
        <f t="shared" si="2"/>
        <v>1</v>
      </c>
      <c r="BW8" s="10">
        <f t="shared" si="3"/>
        <v>0</v>
      </c>
      <c r="BX8" s="10"/>
      <c r="BY8" s="11">
        <v>6</v>
      </c>
      <c r="BZ8" s="125" t="s">
        <v>80</v>
      </c>
      <c r="CA8" s="204" t="s">
        <v>149</v>
      </c>
      <c r="CB8" s="204" t="s">
        <v>156</v>
      </c>
      <c r="CC8" s="204" t="s">
        <v>172</v>
      </c>
      <c r="CD8" s="8"/>
      <c r="CE8" s="19"/>
      <c r="CF8" s="8"/>
      <c r="CG8" s="19"/>
      <c r="CH8" s="8"/>
      <c r="CI8" s="19"/>
      <c r="CJ8" s="19"/>
      <c r="CK8" s="8"/>
      <c r="CL8" s="19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FU8" s="22"/>
    </row>
    <row r="9" spans="1:177" ht="18" customHeight="1" thickBot="1">
      <c r="A9" s="1"/>
      <c r="B9" s="100"/>
      <c r="C9" s="100"/>
      <c r="D9" s="99"/>
      <c r="E9" s="61" t="str">
        <f t="shared" si="4"/>
        <v>Rebel Yndij </v>
      </c>
      <c r="F9" s="103" t="str">
        <f t="shared" si="26"/>
        <v>No</v>
      </c>
      <c r="G9" s="135" t="str">
        <f t="shared" si="5"/>
        <v>T</v>
      </c>
      <c r="H9" s="136">
        <f t="shared" si="6"/>
        <v>1</v>
      </c>
      <c r="I9" s="136">
        <f t="shared" si="7"/>
        <v>5</v>
      </c>
      <c r="J9" s="136">
        <f t="shared" si="8"/>
        <v>5</v>
      </c>
      <c r="K9" s="137">
        <f t="shared" si="9"/>
        <v>6</v>
      </c>
      <c r="L9" s="136">
        <f t="shared" si="10"/>
        <v>1</v>
      </c>
      <c r="M9" s="138" t="str">
        <f t="shared" si="11"/>
        <v>1-1</v>
      </c>
      <c r="N9" s="138">
        <f t="shared" si="12"/>
      </c>
      <c r="O9" s="62" t="str">
        <f t="shared" si="27"/>
        <v>Move, Blaze  Away</v>
      </c>
      <c r="P9" s="62" t="str">
        <f t="shared" si="13"/>
        <v>Agile </v>
      </c>
      <c r="Q9" s="62" t="str">
        <f t="shared" si="14"/>
        <v>Rifle</v>
      </c>
      <c r="R9" s="63">
        <f t="shared" si="28"/>
      </c>
      <c r="S9" s="234" t="str">
        <f t="shared" si="29"/>
        <v>1</v>
      </c>
      <c r="T9" s="235"/>
      <c r="U9" s="86"/>
      <c r="V9" s="82"/>
      <c r="W9" s="87"/>
      <c r="X9" s="83"/>
      <c r="Y9" s="84"/>
      <c r="Z9" s="83"/>
      <c r="AA9" s="84"/>
      <c r="AB9" s="85"/>
      <c r="AC9" s="200">
        <f t="shared" si="30"/>
        <v>0</v>
      </c>
      <c r="AD9" s="64">
        <f t="shared" si="15"/>
        <v>0</v>
      </c>
      <c r="AE9" s="88">
        <f t="shared" si="16"/>
        <v>6</v>
      </c>
      <c r="AF9" s="105"/>
      <c r="AG9" s="106"/>
      <c r="AH9" s="65">
        <f t="shared" si="17"/>
      </c>
      <c r="AI9" s="46"/>
      <c r="AJ9" s="58">
        <v>1</v>
      </c>
      <c r="AK9" s="58">
        <v>1</v>
      </c>
      <c r="AL9" s="58">
        <v>1</v>
      </c>
      <c r="AM9" s="58">
        <v>1</v>
      </c>
      <c r="AN9" s="58">
        <v>1</v>
      </c>
      <c r="AO9" s="58">
        <v>1</v>
      </c>
      <c r="AP9" s="21">
        <v>9</v>
      </c>
      <c r="AQ9" s="17" t="str">
        <f t="shared" si="18"/>
        <v>T</v>
      </c>
      <c r="AR9" s="17">
        <f t="shared" si="19"/>
        <v>1</v>
      </c>
      <c r="AS9" s="17">
        <f t="shared" si="20"/>
        <v>5</v>
      </c>
      <c r="AT9" s="17">
        <f t="shared" si="21"/>
        <v>5</v>
      </c>
      <c r="AU9" s="17">
        <f t="shared" si="22"/>
        <v>6</v>
      </c>
      <c r="AV9" s="17">
        <f t="shared" si="23"/>
        <v>1</v>
      </c>
      <c r="AW9" s="17" t="str">
        <f t="shared" si="24"/>
        <v>1-1</v>
      </c>
      <c r="AX9" s="45">
        <f t="shared" si="25"/>
        <v>41275</v>
      </c>
      <c r="AY9" s="7">
        <f t="shared" si="31"/>
        <v>7</v>
      </c>
      <c r="AZ9" s="19" t="s">
        <v>74</v>
      </c>
      <c r="BA9" s="19" t="s">
        <v>119</v>
      </c>
      <c r="BB9" s="19">
        <v>1</v>
      </c>
      <c r="BC9" s="43">
        <v>4</v>
      </c>
      <c r="BD9" s="23">
        <v>6</v>
      </c>
      <c r="BE9" s="23">
        <v>4</v>
      </c>
      <c r="BF9" s="23">
        <v>2</v>
      </c>
      <c r="BG9" s="23" t="s">
        <v>87</v>
      </c>
      <c r="BH9" s="23" t="s">
        <v>100</v>
      </c>
      <c r="BI9" s="131" t="s">
        <v>95</v>
      </c>
      <c r="BJ9" s="132" t="s">
        <v>106</v>
      </c>
      <c r="BK9" s="22">
        <v>11</v>
      </c>
      <c r="BL9" s="22" t="s">
        <v>65</v>
      </c>
      <c r="BM9" s="22">
        <v>4</v>
      </c>
      <c r="BN9" s="22"/>
      <c r="BO9" s="11">
        <v>8</v>
      </c>
      <c r="BP9" s="12"/>
      <c r="BQ9" s="12"/>
      <c r="BR9" s="10"/>
      <c r="BS9" s="37">
        <f t="shared" si="0"/>
        <v>9</v>
      </c>
      <c r="BT9" s="7" t="str">
        <f t="shared" si="1"/>
        <v>Rebel Yndij </v>
      </c>
      <c r="BU9" s="38" t="str">
        <f>HLOOKUP(O$23,BZ$2:CL$17,9,FALSE)</f>
        <v>Rebel Yndij </v>
      </c>
      <c r="BV9" s="10">
        <f t="shared" si="2"/>
        <v>1</v>
      </c>
      <c r="BW9" s="10" t="str">
        <f t="shared" si="3"/>
        <v>Agile </v>
      </c>
      <c r="BX9" s="10"/>
      <c r="BY9" s="11">
        <v>7</v>
      </c>
      <c r="BZ9" s="125" t="s">
        <v>79</v>
      </c>
      <c r="CA9" s="208" t="s">
        <v>147</v>
      </c>
      <c r="CB9" s="204" t="s">
        <v>159</v>
      </c>
      <c r="CC9" s="204" t="s">
        <v>168</v>
      </c>
      <c r="CD9" s="8"/>
      <c r="CE9" s="8"/>
      <c r="CF9" s="8"/>
      <c r="CG9" s="8"/>
      <c r="CH9" s="8"/>
      <c r="CI9" s="19"/>
      <c r="CJ9" s="8"/>
      <c r="CK9" s="8"/>
      <c r="CL9" s="8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FU9" s="22"/>
    </row>
    <row r="10" spans="1:177" ht="18" customHeight="1" thickBot="1">
      <c r="A10" s="1"/>
      <c r="B10" s="101"/>
      <c r="C10" s="101"/>
      <c r="D10" s="99"/>
      <c r="E10" s="61">
        <f t="shared" si="4"/>
      </c>
      <c r="F10" s="103" t="str">
        <f t="shared" si="26"/>
        <v>No</v>
      </c>
      <c r="G10" s="135">
        <f t="shared" si="5"/>
      </c>
      <c r="H10" s="136">
        <f t="shared" si="6"/>
      </c>
      <c r="I10" s="136">
        <f t="shared" si="7"/>
      </c>
      <c r="J10" s="136">
        <f t="shared" si="8"/>
      </c>
      <c r="K10" s="137">
        <f t="shared" si="9"/>
      </c>
      <c r="L10" s="136">
        <f t="shared" si="10"/>
      </c>
      <c r="M10" s="138">
        <f t="shared" si="11"/>
      </c>
      <c r="N10" s="138">
        <f t="shared" si="12"/>
      </c>
      <c r="O10" s="62">
        <f t="shared" si="27"/>
      </c>
      <c r="P10" s="62">
        <f t="shared" si="13"/>
      </c>
      <c r="Q10" s="62">
        <f t="shared" si="14"/>
      </c>
      <c r="R10" s="63">
        <f t="shared" si="28"/>
      </c>
      <c r="S10" s="234" t="str">
        <f t="shared" si="29"/>
        <v>1</v>
      </c>
      <c r="T10" s="235"/>
      <c r="U10" s="86"/>
      <c r="V10" s="82"/>
      <c r="W10" s="87"/>
      <c r="X10" s="83"/>
      <c r="Y10" s="84"/>
      <c r="Z10" s="83"/>
      <c r="AA10" s="84"/>
      <c r="AB10" s="85"/>
      <c r="AC10" s="200">
        <f t="shared" si="30"/>
        <v>0</v>
      </c>
      <c r="AD10" s="64">
        <f t="shared" si="15"/>
        <v>0</v>
      </c>
      <c r="AE10" s="88">
        <f t="shared" si="16"/>
        <v>0</v>
      </c>
      <c r="AF10" s="105"/>
      <c r="AG10" s="106"/>
      <c r="AH10" s="65">
        <f t="shared" si="17"/>
      </c>
      <c r="AI10" s="46"/>
      <c r="AJ10" s="58">
        <v>1</v>
      </c>
      <c r="AK10" s="58">
        <v>1</v>
      </c>
      <c r="AL10" s="58">
        <v>1</v>
      </c>
      <c r="AM10" s="58">
        <v>1</v>
      </c>
      <c r="AN10" s="58">
        <v>1</v>
      </c>
      <c r="AO10" s="58">
        <v>1</v>
      </c>
      <c r="AP10" s="21">
        <v>1</v>
      </c>
      <c r="AQ10" s="17" t="e">
        <f t="shared" si="18"/>
        <v>#N/A</v>
      </c>
      <c r="AR10" s="17" t="e">
        <f t="shared" si="19"/>
        <v>#N/A</v>
      </c>
      <c r="AS10" s="17" t="e">
        <f t="shared" si="20"/>
        <v>#N/A</v>
      </c>
      <c r="AT10" s="17" t="e">
        <f t="shared" si="21"/>
        <v>#N/A</v>
      </c>
      <c r="AU10" s="17" t="e">
        <f t="shared" si="22"/>
        <v>#N/A</v>
      </c>
      <c r="AV10" s="17" t="e">
        <f t="shared" si="23"/>
        <v>#N/A</v>
      </c>
      <c r="AW10" s="17" t="e">
        <f t="shared" si="24"/>
        <v>#N/A</v>
      </c>
      <c r="AX10" s="45">
        <f t="shared" si="25"/>
        <v>0</v>
      </c>
      <c r="AY10" s="7">
        <f t="shared" si="31"/>
        <v>8</v>
      </c>
      <c r="AZ10" s="19" t="s">
        <v>75</v>
      </c>
      <c r="BA10" s="19" t="s">
        <v>126</v>
      </c>
      <c r="BB10" s="19">
        <v>1</v>
      </c>
      <c r="BC10" s="43">
        <v>4</v>
      </c>
      <c r="BD10" s="23">
        <v>6</v>
      </c>
      <c r="BE10" s="23">
        <v>4</v>
      </c>
      <c r="BF10" s="23">
        <v>2</v>
      </c>
      <c r="BG10" s="23" t="s">
        <v>87</v>
      </c>
      <c r="BH10" s="23" t="s">
        <v>100</v>
      </c>
      <c r="BI10" s="131" t="s">
        <v>95</v>
      </c>
      <c r="BJ10" s="132" t="s">
        <v>107</v>
      </c>
      <c r="BK10" s="22">
        <v>12</v>
      </c>
      <c r="BL10" s="22" t="s">
        <v>23</v>
      </c>
      <c r="BM10" s="22">
        <v>4</v>
      </c>
      <c r="BN10" s="43"/>
      <c r="BO10" s="11">
        <v>9</v>
      </c>
      <c r="BP10" s="12"/>
      <c r="BQ10" s="12"/>
      <c r="BR10" s="10"/>
      <c r="BS10" s="37">
        <f t="shared" si="0"/>
        <v>10</v>
      </c>
      <c r="BT10" s="7" t="str">
        <f t="shared" si="1"/>
        <v>Rebel Yndij sergeant</v>
      </c>
      <c r="BU10" s="38" t="str">
        <f>HLOOKUP(O$23,BZ$2:CL$17,10,FALSE)</f>
        <v>Rebel Yndij sergeant</v>
      </c>
      <c r="BV10" s="10">
        <f t="shared" si="2"/>
        <v>0</v>
      </c>
      <c r="BW10" s="10" t="str">
        <f t="shared" si="3"/>
        <v>Agile. Tactician</v>
      </c>
      <c r="BX10" s="10"/>
      <c r="BY10" s="11">
        <v>8</v>
      </c>
      <c r="BZ10" s="125" t="s">
        <v>78</v>
      </c>
      <c r="CA10" s="208" t="s">
        <v>146</v>
      </c>
      <c r="CB10" s="204" t="s">
        <v>158</v>
      </c>
      <c r="CC10" s="204" t="s">
        <v>179</v>
      </c>
      <c r="CD10" s="19"/>
      <c r="CE10" s="8"/>
      <c r="CF10" s="19"/>
      <c r="CG10" s="8"/>
      <c r="CH10" s="19"/>
      <c r="CI10" s="8"/>
      <c r="CJ10" s="19"/>
      <c r="CK10" s="8"/>
      <c r="CL10" s="8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FU10" s="43"/>
    </row>
    <row r="11" spans="1:177" ht="18" customHeight="1" thickBot="1">
      <c r="A11" s="1"/>
      <c r="B11" s="100"/>
      <c r="C11" s="100"/>
      <c r="D11" s="99"/>
      <c r="E11" s="61">
        <f t="shared" si="4"/>
      </c>
      <c r="F11" s="103" t="str">
        <f t="shared" si="26"/>
        <v>No</v>
      </c>
      <c r="G11" s="135">
        <f t="shared" si="5"/>
      </c>
      <c r="H11" s="136">
        <f t="shared" si="6"/>
      </c>
      <c r="I11" s="136">
        <f t="shared" si="7"/>
      </c>
      <c r="J11" s="136">
        <f t="shared" si="8"/>
      </c>
      <c r="K11" s="137">
        <f t="shared" si="9"/>
      </c>
      <c r="L11" s="136">
        <f t="shared" si="10"/>
      </c>
      <c r="M11" s="138">
        <f t="shared" si="11"/>
      </c>
      <c r="N11" s="138">
        <f t="shared" si="12"/>
      </c>
      <c r="O11" s="62">
        <f t="shared" si="27"/>
      </c>
      <c r="P11" s="62">
        <f t="shared" si="13"/>
      </c>
      <c r="Q11" s="62">
        <f t="shared" si="14"/>
      </c>
      <c r="R11" s="63">
        <f t="shared" si="28"/>
      </c>
      <c r="S11" s="234" t="str">
        <f t="shared" si="29"/>
        <v>1</v>
      </c>
      <c r="T11" s="235"/>
      <c r="U11" s="86"/>
      <c r="V11" s="82"/>
      <c r="W11" s="87"/>
      <c r="X11" s="83"/>
      <c r="Y11" s="84"/>
      <c r="Z11" s="83"/>
      <c r="AA11" s="84"/>
      <c r="AB11" s="85"/>
      <c r="AC11" s="200">
        <f t="shared" si="30"/>
        <v>0</v>
      </c>
      <c r="AD11" s="64">
        <f t="shared" si="15"/>
        <v>0</v>
      </c>
      <c r="AE11" s="88">
        <f t="shared" si="16"/>
        <v>0</v>
      </c>
      <c r="AF11" s="105"/>
      <c r="AG11" s="106"/>
      <c r="AH11" s="65">
        <f t="shared" si="17"/>
      </c>
      <c r="AI11" s="46"/>
      <c r="AJ11" s="58">
        <v>1</v>
      </c>
      <c r="AK11" s="58">
        <v>1</v>
      </c>
      <c r="AL11" s="58">
        <v>1</v>
      </c>
      <c r="AM11" s="58">
        <v>1</v>
      </c>
      <c r="AN11" s="58">
        <v>1</v>
      </c>
      <c r="AO11" s="58">
        <v>1</v>
      </c>
      <c r="AP11" s="21">
        <v>1</v>
      </c>
      <c r="AQ11" s="17" t="e">
        <f t="shared" si="18"/>
        <v>#N/A</v>
      </c>
      <c r="AR11" s="17" t="e">
        <f t="shared" si="19"/>
        <v>#N/A</v>
      </c>
      <c r="AS11" s="17" t="e">
        <f t="shared" si="20"/>
        <v>#N/A</v>
      </c>
      <c r="AT11" s="17" t="e">
        <f t="shared" si="21"/>
        <v>#N/A</v>
      </c>
      <c r="AU11" s="17" t="e">
        <f t="shared" si="22"/>
        <v>#N/A</v>
      </c>
      <c r="AV11" s="17" t="e">
        <f t="shared" si="23"/>
        <v>#N/A</v>
      </c>
      <c r="AW11" s="17" t="e">
        <f t="shared" si="24"/>
        <v>#N/A</v>
      </c>
      <c r="AX11" s="45">
        <f t="shared" si="25"/>
        <v>0</v>
      </c>
      <c r="AY11" s="7">
        <f t="shared" si="31"/>
        <v>9</v>
      </c>
      <c r="AZ11" s="19" t="s">
        <v>76</v>
      </c>
      <c r="BA11" s="19" t="s">
        <v>119</v>
      </c>
      <c r="BB11" s="19">
        <v>1</v>
      </c>
      <c r="BC11" s="43">
        <v>4</v>
      </c>
      <c r="BD11" s="23">
        <v>6</v>
      </c>
      <c r="BE11" s="23">
        <v>4</v>
      </c>
      <c r="BF11" s="23">
        <v>2</v>
      </c>
      <c r="BG11" s="23" t="s">
        <v>87</v>
      </c>
      <c r="BH11" s="23" t="s">
        <v>100</v>
      </c>
      <c r="BI11" s="131" t="s">
        <v>95</v>
      </c>
      <c r="BJ11" s="132" t="s">
        <v>108</v>
      </c>
      <c r="BK11" s="22">
        <v>13</v>
      </c>
      <c r="BL11" s="43" t="s">
        <v>24</v>
      </c>
      <c r="BM11" s="43">
        <v>6</v>
      </c>
      <c r="BN11" s="22"/>
      <c r="BO11" s="11">
        <v>10</v>
      </c>
      <c r="BP11" s="12"/>
      <c r="BQ11" s="12"/>
      <c r="BR11" s="10"/>
      <c r="BS11" s="37">
        <f t="shared" si="0"/>
        <v>11</v>
      </c>
      <c r="BT11" s="7" t="str">
        <f t="shared" si="1"/>
        <v>Survey Drone</v>
      </c>
      <c r="BU11" s="38" t="str">
        <f>HLOOKUP(O$23,BZ$2:CL$17,11,FALSE)</f>
        <v>Survey Drone</v>
      </c>
      <c r="BV11" s="10">
        <f t="shared" si="2"/>
        <v>0</v>
      </c>
      <c r="BW11" s="10" t="str">
        <f t="shared" si="3"/>
        <v>Agile, Hover, Spotter,Vulnerable</v>
      </c>
      <c r="BX11" s="10"/>
      <c r="BY11" s="11">
        <v>9</v>
      </c>
      <c r="BZ11" s="125" t="s">
        <v>71</v>
      </c>
      <c r="CA11" s="208" t="s">
        <v>144</v>
      </c>
      <c r="CB11" s="204" t="s">
        <v>160</v>
      </c>
      <c r="CC11" s="204" t="s">
        <v>175</v>
      </c>
      <c r="CD11" s="8"/>
      <c r="CE11" s="8"/>
      <c r="CF11" s="19"/>
      <c r="CG11" s="8"/>
      <c r="CH11" s="19"/>
      <c r="CI11" s="19"/>
      <c r="CJ11" s="8"/>
      <c r="CK11" s="8"/>
      <c r="CL11" s="8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FU11" s="22"/>
    </row>
    <row r="12" spans="1:177" ht="18" customHeight="1" thickBot="1">
      <c r="A12" s="1"/>
      <c r="B12" s="101"/>
      <c r="C12" s="101"/>
      <c r="D12" s="99"/>
      <c r="E12" s="61">
        <f t="shared" si="4"/>
      </c>
      <c r="F12" s="103" t="str">
        <f t="shared" si="26"/>
        <v>No</v>
      </c>
      <c r="G12" s="135">
        <f t="shared" si="5"/>
      </c>
      <c r="H12" s="136">
        <f t="shared" si="6"/>
      </c>
      <c r="I12" s="136">
        <f t="shared" si="7"/>
      </c>
      <c r="J12" s="136">
        <f t="shared" si="8"/>
      </c>
      <c r="K12" s="137">
        <f t="shared" si="9"/>
      </c>
      <c r="L12" s="136">
        <f t="shared" si="10"/>
      </c>
      <c r="M12" s="138">
        <f t="shared" si="11"/>
      </c>
      <c r="N12" s="138">
        <f t="shared" si="12"/>
      </c>
      <c r="O12" s="62">
        <f t="shared" si="27"/>
      </c>
      <c r="P12" s="62">
        <f t="shared" si="13"/>
      </c>
      <c r="Q12" s="62">
        <f t="shared" si="14"/>
      </c>
      <c r="R12" s="63">
        <f t="shared" si="28"/>
      </c>
      <c r="S12" s="234" t="str">
        <f t="shared" si="29"/>
        <v>1</v>
      </c>
      <c r="T12" s="235"/>
      <c r="U12" s="86"/>
      <c r="V12" s="82"/>
      <c r="W12" s="87"/>
      <c r="X12" s="83"/>
      <c r="Y12" s="84"/>
      <c r="Z12" s="83"/>
      <c r="AA12" s="84"/>
      <c r="AB12" s="85"/>
      <c r="AC12" s="200">
        <f t="shared" si="30"/>
        <v>0</v>
      </c>
      <c r="AD12" s="64">
        <f t="shared" si="15"/>
        <v>0</v>
      </c>
      <c r="AE12" s="88">
        <f t="shared" si="16"/>
        <v>0</v>
      </c>
      <c r="AF12" s="105"/>
      <c r="AG12" s="106"/>
      <c r="AH12" s="65">
        <f t="shared" si="17"/>
      </c>
      <c r="AI12" s="46"/>
      <c r="AJ12" s="58">
        <v>1</v>
      </c>
      <c r="AK12" s="58">
        <v>1</v>
      </c>
      <c r="AL12" s="58">
        <v>1</v>
      </c>
      <c r="AM12" s="58">
        <v>1</v>
      </c>
      <c r="AN12" s="58">
        <v>1</v>
      </c>
      <c r="AO12" s="58">
        <v>1</v>
      </c>
      <c r="AP12" s="21">
        <v>1</v>
      </c>
      <c r="AQ12" s="17" t="e">
        <f t="shared" si="18"/>
        <v>#N/A</v>
      </c>
      <c r="AR12" s="17" t="e">
        <f t="shared" si="19"/>
        <v>#N/A</v>
      </c>
      <c r="AS12" s="17" t="e">
        <f t="shared" si="20"/>
        <v>#N/A</v>
      </c>
      <c r="AT12" s="17" t="e">
        <f t="shared" si="21"/>
        <v>#N/A</v>
      </c>
      <c r="AU12" s="17" t="e">
        <f t="shared" si="22"/>
        <v>#N/A</v>
      </c>
      <c r="AV12" s="17" t="e">
        <f t="shared" si="23"/>
        <v>#N/A</v>
      </c>
      <c r="AW12" s="17" t="e">
        <f t="shared" si="24"/>
        <v>#N/A</v>
      </c>
      <c r="AX12" s="45">
        <f t="shared" si="25"/>
        <v>0</v>
      </c>
      <c r="AY12" s="7">
        <f t="shared" si="31"/>
        <v>10</v>
      </c>
      <c r="AZ12" s="19" t="s">
        <v>77</v>
      </c>
      <c r="BA12" s="19" t="s">
        <v>119</v>
      </c>
      <c r="BB12" s="19">
        <v>1</v>
      </c>
      <c r="BC12" s="43">
        <v>5</v>
      </c>
      <c r="BD12" s="23">
        <v>6</v>
      </c>
      <c r="BE12" s="23">
        <v>4</v>
      </c>
      <c r="BF12" s="23">
        <v>2</v>
      </c>
      <c r="BG12" s="23" t="s">
        <v>87</v>
      </c>
      <c r="BH12" s="23" t="s">
        <v>97</v>
      </c>
      <c r="BI12" s="131" t="s">
        <v>109</v>
      </c>
      <c r="BJ12" s="132" t="s">
        <v>110</v>
      </c>
      <c r="BK12" s="22">
        <v>13</v>
      </c>
      <c r="BL12" s="22" t="s">
        <v>25</v>
      </c>
      <c r="BM12" s="22">
        <v>6</v>
      </c>
      <c r="BN12" s="22"/>
      <c r="BO12" s="11">
        <v>11</v>
      </c>
      <c r="BP12" s="12"/>
      <c r="BQ12" s="12"/>
      <c r="BR12" s="10"/>
      <c r="BS12" s="37">
        <f t="shared" si="0"/>
        <v>12</v>
      </c>
      <c r="BT12" s="7" t="str">
        <f t="shared" si="1"/>
        <v>Teraton</v>
      </c>
      <c r="BU12" s="38" t="str">
        <f>HLOOKUP(O$23,BZ$2:CL$17,12,FALSE)</f>
        <v>Teraton</v>
      </c>
      <c r="BV12" s="10">
        <f t="shared" si="2"/>
        <v>1</v>
      </c>
      <c r="BW12" s="10" t="str">
        <f t="shared" si="3"/>
        <v>Teleport, Brawler, Tough</v>
      </c>
      <c r="BX12" s="10"/>
      <c r="BY12" s="11">
        <v>10</v>
      </c>
      <c r="BZ12" s="125" t="s">
        <v>73</v>
      </c>
      <c r="CA12" s="125" t="s">
        <v>227</v>
      </c>
      <c r="CB12" s="204" t="s">
        <v>154</v>
      </c>
      <c r="CC12" s="204" t="s">
        <v>167</v>
      </c>
      <c r="CD12" s="19"/>
      <c r="CE12" s="8"/>
      <c r="CF12" s="8"/>
      <c r="CG12" s="8"/>
      <c r="CH12" s="8"/>
      <c r="CI12" s="29"/>
      <c r="CJ12" s="19"/>
      <c r="CK12" s="8"/>
      <c r="CL12" s="19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FU12" s="22"/>
    </row>
    <row r="13" spans="1:177" ht="18" customHeight="1" thickBot="1">
      <c r="A13" s="1"/>
      <c r="B13" s="100"/>
      <c r="C13" s="100"/>
      <c r="D13" s="99"/>
      <c r="E13" s="61">
        <f t="shared" si="4"/>
      </c>
      <c r="F13" s="103" t="str">
        <f t="shared" si="26"/>
        <v>No</v>
      </c>
      <c r="G13" s="135">
        <f t="shared" si="5"/>
      </c>
      <c r="H13" s="136">
        <f t="shared" si="6"/>
      </c>
      <c r="I13" s="136">
        <f t="shared" si="7"/>
      </c>
      <c r="J13" s="136">
        <f t="shared" si="8"/>
      </c>
      <c r="K13" s="137">
        <f t="shared" si="9"/>
      </c>
      <c r="L13" s="136">
        <f t="shared" si="10"/>
      </c>
      <c r="M13" s="138">
        <f t="shared" si="11"/>
      </c>
      <c r="N13" s="138">
        <f t="shared" si="12"/>
      </c>
      <c r="O13" s="62">
        <f t="shared" si="27"/>
      </c>
      <c r="P13" s="62">
        <f t="shared" si="13"/>
      </c>
      <c r="Q13" s="62">
        <f t="shared" si="14"/>
      </c>
      <c r="R13" s="63">
        <f t="shared" si="28"/>
      </c>
      <c r="S13" s="234" t="str">
        <f t="shared" si="29"/>
        <v>1</v>
      </c>
      <c r="T13" s="235"/>
      <c r="U13" s="86"/>
      <c r="V13" s="82"/>
      <c r="W13" s="87"/>
      <c r="X13" s="83"/>
      <c r="Y13" s="84"/>
      <c r="Z13" s="83"/>
      <c r="AA13" s="84"/>
      <c r="AB13" s="85"/>
      <c r="AC13" s="200">
        <f t="shared" si="30"/>
        <v>0</v>
      </c>
      <c r="AD13" s="64">
        <f t="shared" si="15"/>
        <v>0</v>
      </c>
      <c r="AE13" s="88">
        <f t="shared" si="16"/>
        <v>0</v>
      </c>
      <c r="AF13" s="105"/>
      <c r="AG13" s="106"/>
      <c r="AH13" s="65">
        <f t="shared" si="17"/>
      </c>
      <c r="AI13" s="46"/>
      <c r="AJ13" s="58">
        <v>1</v>
      </c>
      <c r="AK13" s="58">
        <v>1</v>
      </c>
      <c r="AL13" s="58">
        <v>1</v>
      </c>
      <c r="AM13" s="58">
        <v>1</v>
      </c>
      <c r="AN13" s="58">
        <v>1</v>
      </c>
      <c r="AO13" s="58">
        <v>1</v>
      </c>
      <c r="AP13" s="21">
        <v>1</v>
      </c>
      <c r="AQ13" s="17" t="e">
        <f t="shared" si="18"/>
        <v>#N/A</v>
      </c>
      <c r="AR13" s="17" t="e">
        <f t="shared" si="19"/>
        <v>#N/A</v>
      </c>
      <c r="AS13" s="17" t="e">
        <f t="shared" si="20"/>
        <v>#N/A</v>
      </c>
      <c r="AT13" s="17" t="e">
        <f t="shared" si="21"/>
        <v>#N/A</v>
      </c>
      <c r="AU13" s="17" t="e">
        <f t="shared" si="22"/>
        <v>#N/A</v>
      </c>
      <c r="AV13" s="17" t="e">
        <f t="shared" si="23"/>
        <v>#N/A</v>
      </c>
      <c r="AW13" s="17" t="e">
        <f t="shared" si="24"/>
        <v>#N/A</v>
      </c>
      <c r="AX13" s="45">
        <f t="shared" si="25"/>
        <v>0</v>
      </c>
      <c r="AY13" s="7">
        <f t="shared" si="31"/>
        <v>11</v>
      </c>
      <c r="AZ13" s="8" t="s">
        <v>78</v>
      </c>
      <c r="BA13" s="8" t="s">
        <v>119</v>
      </c>
      <c r="BB13" s="8">
        <v>1</v>
      </c>
      <c r="BC13" s="43">
        <v>4</v>
      </c>
      <c r="BD13" s="23">
        <v>6</v>
      </c>
      <c r="BE13" s="23">
        <v>4</v>
      </c>
      <c r="BF13" s="23">
        <v>2</v>
      </c>
      <c r="BG13" s="23" t="s">
        <v>88</v>
      </c>
      <c r="BH13" s="23" t="s">
        <v>100</v>
      </c>
      <c r="BI13" s="131" t="s">
        <v>111</v>
      </c>
      <c r="BJ13" s="132" t="s">
        <v>112</v>
      </c>
      <c r="BK13" s="22">
        <v>13</v>
      </c>
      <c r="BL13" s="22" t="s">
        <v>26</v>
      </c>
      <c r="BM13" s="22">
        <v>12</v>
      </c>
      <c r="BN13" s="22"/>
      <c r="BO13" s="11">
        <v>12</v>
      </c>
      <c r="BP13" s="12"/>
      <c r="BQ13" s="12"/>
      <c r="BR13" s="10"/>
      <c r="BS13" s="37">
        <f>IF(BT13="","",BS12+1)</f>
        <v>13</v>
      </c>
      <c r="BT13" s="7" t="str">
        <f t="shared" si="1"/>
        <v>TK-Zero Weapons team</v>
      </c>
      <c r="BU13" s="38" t="str">
        <f>HLOOKUP(O$23,BZ$2:CL$17,13,FALSE)</f>
        <v>TK-Zero Weapons team</v>
      </c>
      <c r="BV13" s="10">
        <f t="shared" si="2"/>
        <v>0</v>
      </c>
      <c r="BW13" s="10" t="str">
        <f t="shared" si="3"/>
        <v>CSW, Marksman</v>
      </c>
      <c r="BX13" s="10"/>
      <c r="BY13" s="11">
        <v>11</v>
      </c>
      <c r="BZ13" s="125" t="s">
        <v>70</v>
      </c>
      <c r="CA13" s="8"/>
      <c r="CB13" s="204" t="s">
        <v>153</v>
      </c>
      <c r="CC13" s="204" t="s">
        <v>170</v>
      </c>
      <c r="CD13" s="19"/>
      <c r="CE13" s="19"/>
      <c r="CF13" s="19"/>
      <c r="CG13" s="19"/>
      <c r="CH13" s="8"/>
      <c r="CI13" s="19"/>
      <c r="CJ13" s="8"/>
      <c r="CK13" s="19"/>
      <c r="CL13" s="8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FU13" s="22"/>
    </row>
    <row r="14" spans="1:177" ht="18" customHeight="1" thickBot="1">
      <c r="A14" s="1"/>
      <c r="B14" s="101"/>
      <c r="C14" s="101"/>
      <c r="D14" s="99"/>
      <c r="E14" s="61">
        <f t="shared" si="4"/>
      </c>
      <c r="F14" s="103" t="str">
        <f t="shared" si="26"/>
        <v>No</v>
      </c>
      <c r="G14" s="135">
        <f t="shared" si="5"/>
      </c>
      <c r="H14" s="136">
        <f t="shared" si="6"/>
      </c>
      <c r="I14" s="136">
        <f t="shared" si="7"/>
      </c>
      <c r="J14" s="136">
        <f t="shared" si="8"/>
      </c>
      <c r="K14" s="137">
        <f t="shared" si="9"/>
      </c>
      <c r="L14" s="136">
        <f t="shared" si="10"/>
      </c>
      <c r="M14" s="138">
        <f t="shared" si="11"/>
      </c>
      <c r="N14" s="138">
        <f t="shared" si="12"/>
      </c>
      <c r="O14" s="62">
        <f t="shared" si="27"/>
      </c>
      <c r="P14" s="62">
        <f t="shared" si="13"/>
      </c>
      <c r="Q14" s="62">
        <f t="shared" si="14"/>
      </c>
      <c r="R14" s="63">
        <f t="shared" si="28"/>
      </c>
      <c r="S14" s="234" t="str">
        <f t="shared" si="29"/>
        <v>1</v>
      </c>
      <c r="T14" s="235"/>
      <c r="U14" s="86"/>
      <c r="V14" s="82"/>
      <c r="W14" s="87"/>
      <c r="X14" s="83"/>
      <c r="Y14" s="84"/>
      <c r="Z14" s="83"/>
      <c r="AA14" s="84"/>
      <c r="AB14" s="85"/>
      <c r="AC14" s="200">
        <f t="shared" si="30"/>
        <v>0</v>
      </c>
      <c r="AD14" s="64">
        <f t="shared" si="15"/>
        <v>0</v>
      </c>
      <c r="AE14" s="88">
        <f t="shared" si="16"/>
        <v>0</v>
      </c>
      <c r="AF14" s="105"/>
      <c r="AG14" s="106"/>
      <c r="AH14" s="65">
        <f t="shared" si="17"/>
      </c>
      <c r="AI14" s="46"/>
      <c r="AJ14" s="58">
        <v>1</v>
      </c>
      <c r="AK14" s="58">
        <v>1</v>
      </c>
      <c r="AL14" s="58">
        <v>1</v>
      </c>
      <c r="AM14" s="58">
        <v>1</v>
      </c>
      <c r="AN14" s="58">
        <v>1</v>
      </c>
      <c r="AO14" s="58">
        <v>1</v>
      </c>
      <c r="AP14" s="21">
        <v>1</v>
      </c>
      <c r="AQ14" s="17" t="e">
        <f t="shared" si="18"/>
        <v>#N/A</v>
      </c>
      <c r="AR14" s="17" t="e">
        <f t="shared" si="19"/>
        <v>#N/A</v>
      </c>
      <c r="AS14" s="17" t="e">
        <f t="shared" si="20"/>
        <v>#N/A</v>
      </c>
      <c r="AT14" s="17" t="e">
        <f t="shared" si="21"/>
        <v>#N/A</v>
      </c>
      <c r="AU14" s="17" t="e">
        <f t="shared" si="22"/>
        <v>#N/A</v>
      </c>
      <c r="AV14" s="17" t="e">
        <f t="shared" si="23"/>
        <v>#N/A</v>
      </c>
      <c r="AW14" s="17" t="e">
        <f t="shared" si="24"/>
        <v>#N/A</v>
      </c>
      <c r="AX14" s="45">
        <f t="shared" si="25"/>
        <v>0</v>
      </c>
      <c r="AY14" s="7">
        <f t="shared" si="31"/>
        <v>12</v>
      </c>
      <c r="AZ14" s="19" t="s">
        <v>79</v>
      </c>
      <c r="BA14" s="19" t="s">
        <v>61</v>
      </c>
      <c r="BB14" s="19">
        <v>1</v>
      </c>
      <c r="BC14" s="43">
        <v>4</v>
      </c>
      <c r="BD14" s="23">
        <v>5</v>
      </c>
      <c r="BE14" s="23">
        <v>4</v>
      </c>
      <c r="BF14" s="23">
        <v>2</v>
      </c>
      <c r="BG14" s="23" t="s">
        <v>89</v>
      </c>
      <c r="BH14" s="23" t="s">
        <v>113</v>
      </c>
      <c r="BI14" s="131" t="s">
        <v>114</v>
      </c>
      <c r="BJ14" s="132" t="s">
        <v>115</v>
      </c>
      <c r="BK14" s="22">
        <v>15</v>
      </c>
      <c r="BL14" s="22" t="s">
        <v>27</v>
      </c>
      <c r="BM14" s="22">
        <v>4</v>
      </c>
      <c r="BN14" s="22"/>
      <c r="BO14" s="11">
        <v>13</v>
      </c>
      <c r="BP14" s="12"/>
      <c r="BQ14" s="12"/>
      <c r="BR14" s="10"/>
      <c r="BS14" s="11">
        <f>IF(BT14="","",BS13+1)</f>
        <v>14</v>
      </c>
      <c r="BT14" s="7" t="str">
        <f t="shared" si="1"/>
        <v>Zee Scavenger</v>
      </c>
      <c r="BU14" s="38" t="str">
        <f>HLOOKUP(O$23,BZ$2:CL$17,14,FALSE)</f>
        <v>Zee Scavenger</v>
      </c>
      <c r="BV14" s="10">
        <f t="shared" si="2"/>
        <v>0</v>
      </c>
      <c r="BW14" s="10" t="str">
        <f t="shared" si="3"/>
        <v>Scavenger</v>
      </c>
      <c r="BX14" s="10"/>
      <c r="BY14" s="11">
        <v>12</v>
      </c>
      <c r="BZ14" s="125" t="s">
        <v>74</v>
      </c>
      <c r="CA14" s="8"/>
      <c r="CB14" s="204" t="s">
        <v>164</v>
      </c>
      <c r="CC14" s="204" t="s">
        <v>176</v>
      </c>
      <c r="CD14" s="19"/>
      <c r="CE14" s="8"/>
      <c r="CF14" s="8"/>
      <c r="CG14" s="8"/>
      <c r="CH14" s="8"/>
      <c r="CI14" s="8"/>
      <c r="CJ14" s="19"/>
      <c r="CK14" s="8"/>
      <c r="CL14" s="8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FU14" s="22"/>
    </row>
    <row r="15" spans="1:177" ht="18" customHeight="1" thickBot="1">
      <c r="A15" s="1"/>
      <c r="B15" s="100"/>
      <c r="C15" s="100"/>
      <c r="D15" s="99"/>
      <c r="E15" s="61">
        <f t="shared" si="4"/>
      </c>
      <c r="F15" s="103" t="str">
        <f t="shared" si="26"/>
        <v>No</v>
      </c>
      <c r="G15" s="135">
        <f t="shared" si="5"/>
      </c>
      <c r="H15" s="136">
        <f t="shared" si="6"/>
      </c>
      <c r="I15" s="136">
        <f t="shared" si="7"/>
      </c>
      <c r="J15" s="136">
        <f t="shared" si="8"/>
      </c>
      <c r="K15" s="137">
        <f t="shared" si="9"/>
      </c>
      <c r="L15" s="136">
        <f t="shared" si="10"/>
      </c>
      <c r="M15" s="138">
        <f t="shared" si="11"/>
      </c>
      <c r="N15" s="138">
        <f t="shared" si="12"/>
      </c>
      <c r="O15" s="62">
        <f t="shared" si="27"/>
      </c>
      <c r="P15" s="62">
        <f t="shared" si="13"/>
      </c>
      <c r="Q15" s="62">
        <f t="shared" si="14"/>
      </c>
      <c r="R15" s="63">
        <f t="shared" si="28"/>
      </c>
      <c r="S15" s="234" t="str">
        <f t="shared" si="29"/>
        <v>1</v>
      </c>
      <c r="T15" s="235"/>
      <c r="U15" s="86"/>
      <c r="V15" s="82"/>
      <c r="W15" s="87"/>
      <c r="X15" s="83"/>
      <c r="Y15" s="84"/>
      <c r="Z15" s="83"/>
      <c r="AA15" s="84"/>
      <c r="AB15" s="85"/>
      <c r="AC15" s="200">
        <f t="shared" si="30"/>
        <v>0</v>
      </c>
      <c r="AD15" s="64">
        <f t="shared" si="15"/>
        <v>0</v>
      </c>
      <c r="AE15" s="88">
        <f t="shared" si="16"/>
        <v>0</v>
      </c>
      <c r="AF15" s="105"/>
      <c r="AG15" s="106"/>
      <c r="AH15" s="65">
        <f t="shared" si="17"/>
      </c>
      <c r="AI15" s="46"/>
      <c r="AJ15" s="58">
        <v>1</v>
      </c>
      <c r="AK15" s="58">
        <v>1</v>
      </c>
      <c r="AL15" s="58">
        <v>1</v>
      </c>
      <c r="AM15" s="58">
        <v>1</v>
      </c>
      <c r="AN15" s="58">
        <v>1</v>
      </c>
      <c r="AO15" s="58">
        <v>1</v>
      </c>
      <c r="AP15" s="21">
        <v>1</v>
      </c>
      <c r="AQ15" s="17" t="e">
        <f t="shared" si="18"/>
        <v>#N/A</v>
      </c>
      <c r="AR15" s="17" t="e">
        <f t="shared" si="19"/>
        <v>#N/A</v>
      </c>
      <c r="AS15" s="17" t="e">
        <f t="shared" si="20"/>
        <v>#N/A</v>
      </c>
      <c r="AT15" s="17" t="e">
        <f t="shared" si="21"/>
        <v>#N/A</v>
      </c>
      <c r="AU15" s="17" t="e">
        <f t="shared" si="22"/>
        <v>#N/A</v>
      </c>
      <c r="AV15" s="17" t="e">
        <f t="shared" si="23"/>
        <v>#N/A</v>
      </c>
      <c r="AW15" s="17" t="e">
        <f t="shared" si="24"/>
        <v>#N/A</v>
      </c>
      <c r="AX15" s="45">
        <f t="shared" si="25"/>
        <v>0</v>
      </c>
      <c r="AY15" s="7">
        <f t="shared" si="31"/>
        <v>13</v>
      </c>
      <c r="AZ15" s="19" t="s">
        <v>80</v>
      </c>
      <c r="BA15" s="19" t="s">
        <v>61</v>
      </c>
      <c r="BB15" s="19">
        <v>2</v>
      </c>
      <c r="BC15" s="43">
        <v>4</v>
      </c>
      <c r="BD15" s="23">
        <v>5</v>
      </c>
      <c r="BE15" s="23">
        <v>3</v>
      </c>
      <c r="BF15" s="23">
        <v>2</v>
      </c>
      <c r="BG15" s="23" t="s">
        <v>90</v>
      </c>
      <c r="BH15" s="23" t="s">
        <v>113</v>
      </c>
      <c r="BI15" s="133" t="s">
        <v>116</v>
      </c>
      <c r="BJ15" s="134" t="s">
        <v>117</v>
      </c>
      <c r="BK15" s="22">
        <v>28</v>
      </c>
      <c r="BL15" s="43" t="s">
        <v>28</v>
      </c>
      <c r="BM15" s="22">
        <v>2</v>
      </c>
      <c r="BN15" s="43"/>
      <c r="BO15" s="11"/>
      <c r="BP15" s="12"/>
      <c r="BQ15" s="12"/>
      <c r="BR15" s="10"/>
      <c r="BS15" s="11">
        <f>IF(BT15="","",BS14+1)</f>
      </c>
      <c r="BT15" s="7">
        <f>IF(BU15=0,"",BU15)</f>
      </c>
      <c r="BU15" s="38">
        <f>HLOOKUP(O$23,BZ$2:CL$17,15,FALSE)</f>
        <v>0</v>
      </c>
      <c r="BV15" s="10">
        <f t="shared" si="2"/>
      </c>
      <c r="BW15" s="10">
        <f t="shared" si="3"/>
      </c>
      <c r="BX15" s="10"/>
      <c r="BY15" s="11">
        <v>13</v>
      </c>
      <c r="BZ15" s="126" t="s">
        <v>76</v>
      </c>
      <c r="CB15" s="206" t="s">
        <v>155</v>
      </c>
      <c r="CC15" s="204" t="s">
        <v>177</v>
      </c>
      <c r="CD15" s="19"/>
      <c r="CE15" s="19"/>
      <c r="CF15" s="8"/>
      <c r="CG15" s="8"/>
      <c r="CH15" s="29"/>
      <c r="CI15" s="8"/>
      <c r="CJ15" s="8"/>
      <c r="CK15" s="8"/>
      <c r="CL15" s="8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FU15" s="43"/>
    </row>
    <row r="16" spans="1:177" ht="18" customHeight="1" thickBot="1">
      <c r="A16" s="1"/>
      <c r="B16" s="101"/>
      <c r="C16" s="101"/>
      <c r="D16" s="99"/>
      <c r="E16" s="61">
        <f t="shared" si="4"/>
      </c>
      <c r="F16" s="103" t="str">
        <f>IF(LEFT(E16,1)="*","Yes","No")</f>
        <v>No</v>
      </c>
      <c r="G16" s="135">
        <f t="shared" si="5"/>
      </c>
      <c r="H16" s="136">
        <f t="shared" si="6"/>
      </c>
      <c r="I16" s="136">
        <f t="shared" si="7"/>
      </c>
      <c r="J16" s="136">
        <f t="shared" si="8"/>
      </c>
      <c r="K16" s="137">
        <f t="shared" si="9"/>
      </c>
      <c r="L16" s="136">
        <f t="shared" si="10"/>
      </c>
      <c r="M16" s="138">
        <f t="shared" si="11"/>
      </c>
      <c r="N16" s="138">
        <f t="shared" si="12"/>
      </c>
      <c r="O16" s="62">
        <f t="shared" si="27"/>
      </c>
      <c r="P16" s="62">
        <f t="shared" si="13"/>
      </c>
      <c r="Q16" s="62">
        <f t="shared" si="14"/>
      </c>
      <c r="R16" s="63">
        <f t="shared" si="28"/>
      </c>
      <c r="S16" s="234" t="str">
        <f>IF(AD16="MVP","N/A",IF(AD16&gt;=27,"7",IF(AD16&gt;=20,"6",IF(AD16&gt;=14,"5",IF(AD16&gt;=9,"4",IF(AD16&gt;=5,"3",IF(AD16&gt;=2,"2","1")))))))</f>
        <v>1</v>
      </c>
      <c r="T16" s="235"/>
      <c r="U16" s="86"/>
      <c r="V16" s="82"/>
      <c r="W16" s="87"/>
      <c r="X16" s="83"/>
      <c r="Y16" s="84"/>
      <c r="Z16" s="83"/>
      <c r="AA16" s="84"/>
      <c r="AB16" s="85"/>
      <c r="AC16" s="200">
        <f t="shared" si="30"/>
        <v>0</v>
      </c>
      <c r="AD16" s="64">
        <f>IF(LEFT(E16,1)="*","MVP",X16+Y16+Z16+AA16+AB16+AG16)</f>
        <v>0</v>
      </c>
      <c r="AE16" s="88">
        <f t="shared" si="16"/>
        <v>0</v>
      </c>
      <c r="AF16" s="105"/>
      <c r="AG16" s="106"/>
      <c r="AH16" s="65">
        <f>IF(AJ16&gt;1,VLOOKUP(AJ16,$AO$33:$AS$88,5),"")</f>
      </c>
      <c r="AI16" s="46"/>
      <c r="AJ16" s="58">
        <v>1</v>
      </c>
      <c r="AK16" s="58">
        <v>1</v>
      </c>
      <c r="AL16" s="58">
        <v>1</v>
      </c>
      <c r="AM16" s="58">
        <v>1</v>
      </c>
      <c r="AN16" s="58">
        <v>1</v>
      </c>
      <c r="AO16" s="58">
        <v>1</v>
      </c>
      <c r="AP16" s="21">
        <v>1</v>
      </c>
      <c r="AQ16" s="17" t="e">
        <f t="shared" si="18"/>
        <v>#N/A</v>
      </c>
      <c r="AR16" s="17" t="e">
        <f t="shared" si="19"/>
        <v>#N/A</v>
      </c>
      <c r="AS16" s="17" t="e">
        <f t="shared" si="20"/>
        <v>#N/A</v>
      </c>
      <c r="AT16" s="17" t="e">
        <f t="shared" si="21"/>
        <v>#N/A</v>
      </c>
      <c r="AU16" s="17" t="e">
        <f t="shared" si="22"/>
        <v>#N/A</v>
      </c>
      <c r="AV16" s="17" t="e">
        <f t="shared" si="23"/>
        <v>#N/A</v>
      </c>
      <c r="AW16" s="17" t="e">
        <f t="shared" si="24"/>
        <v>#N/A</v>
      </c>
      <c r="AX16" s="45">
        <f t="shared" si="25"/>
        <v>0</v>
      </c>
      <c r="AY16" s="7">
        <f t="shared" si="31"/>
        <v>14</v>
      </c>
      <c r="AZ16" s="205" t="s">
        <v>166</v>
      </c>
      <c r="BA16" s="19" t="s">
        <v>126</v>
      </c>
      <c r="BB16" s="210">
        <v>1</v>
      </c>
      <c r="BC16" s="209">
        <v>5</v>
      </c>
      <c r="BD16" s="210">
        <v>5</v>
      </c>
      <c r="BE16" s="209">
        <v>4</v>
      </c>
      <c r="BF16" s="210">
        <v>1</v>
      </c>
      <c r="BG16" s="211" t="s">
        <v>88</v>
      </c>
      <c r="BH16" s="223" t="s">
        <v>81</v>
      </c>
      <c r="BI16" s="218"/>
      <c r="BJ16" s="128" t="s">
        <v>182</v>
      </c>
      <c r="BK16" s="209">
        <v>5</v>
      </c>
      <c r="BL16" s="43"/>
      <c r="BM16" s="43"/>
      <c r="BN16" s="10"/>
      <c r="BO16" s="11"/>
      <c r="BR16" s="10"/>
      <c r="BS16" s="11">
        <f aca="true" t="shared" si="32" ref="BS16:BS21">IF(BT16="","",BS14+1)</f>
      </c>
      <c r="BT16" s="7">
        <f>IF(BU16=0,"",BU16)</f>
      </c>
      <c r="BU16" s="38">
        <f aca="true" t="shared" si="33" ref="BU16:BU22">HLOOKUP(O$23,BZ$2:CL$17,16,FALSE)</f>
        <v>0</v>
      </c>
      <c r="BV16" s="10">
        <f>IF(BU16=0,"",COUNTIF($E$3:$E$17,BU16))</f>
      </c>
      <c r="BW16" s="10">
        <f aca="true" t="shared" si="34" ref="BW16:BW22">IF(BU16=0,"",VLOOKUP(BT16,$AZ:$BN,14,FALSE))</f>
      </c>
      <c r="BX16" s="10"/>
      <c r="BY16" s="11">
        <v>14</v>
      </c>
      <c r="BZ16" s="19"/>
      <c r="CA16" s="8"/>
      <c r="CB16" s="8"/>
      <c r="CC16" s="206" t="s">
        <v>178</v>
      </c>
      <c r="CD16" s="8"/>
      <c r="CF16" s="8"/>
      <c r="CG16" s="19"/>
      <c r="CH16" s="8"/>
      <c r="CI16" s="8"/>
      <c r="CJ16" s="8"/>
      <c r="CK16" s="8"/>
      <c r="CL16" s="8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FU16" s="10"/>
    </row>
    <row r="17" spans="1:177" ht="18" customHeight="1" thickBot="1">
      <c r="A17" s="1"/>
      <c r="B17" s="101"/>
      <c r="C17" s="101"/>
      <c r="D17" s="99"/>
      <c r="E17" s="61">
        <f t="shared" si="4"/>
      </c>
      <c r="F17" s="103" t="str">
        <f t="shared" si="26"/>
        <v>No</v>
      </c>
      <c r="G17" s="135">
        <f t="shared" si="5"/>
      </c>
      <c r="H17" s="136">
        <f t="shared" si="6"/>
      </c>
      <c r="I17" s="136">
        <f t="shared" si="7"/>
      </c>
      <c r="J17" s="136">
        <f t="shared" si="8"/>
      </c>
      <c r="K17" s="137">
        <f t="shared" si="9"/>
      </c>
      <c r="L17" s="136">
        <f t="shared" si="10"/>
      </c>
      <c r="M17" s="138">
        <f t="shared" si="11"/>
      </c>
      <c r="N17" s="138">
        <f t="shared" si="12"/>
      </c>
      <c r="O17" s="62">
        <f t="shared" si="27"/>
      </c>
      <c r="P17" s="62">
        <f t="shared" si="13"/>
      </c>
      <c r="Q17" s="62">
        <f t="shared" si="14"/>
      </c>
      <c r="R17" s="63">
        <f t="shared" si="28"/>
      </c>
      <c r="S17" s="234" t="str">
        <f t="shared" si="29"/>
        <v>1</v>
      </c>
      <c r="T17" s="235"/>
      <c r="U17" s="86"/>
      <c r="V17" s="82"/>
      <c r="W17" s="87"/>
      <c r="X17" s="83"/>
      <c r="Y17" s="84"/>
      <c r="Z17" s="83"/>
      <c r="AA17" s="84"/>
      <c r="AB17" s="85"/>
      <c r="AC17" s="200">
        <f t="shared" si="30"/>
        <v>0</v>
      </c>
      <c r="AD17" s="64">
        <f t="shared" si="15"/>
        <v>0</v>
      </c>
      <c r="AE17" s="88">
        <f t="shared" si="16"/>
        <v>0</v>
      </c>
      <c r="AF17" s="105"/>
      <c r="AG17" s="106"/>
      <c r="AH17" s="65">
        <f t="shared" si="17"/>
      </c>
      <c r="AI17" s="46"/>
      <c r="AJ17" s="58">
        <v>1</v>
      </c>
      <c r="AK17" s="58">
        <v>1</v>
      </c>
      <c r="AL17" s="58">
        <v>1</v>
      </c>
      <c r="AM17" s="58">
        <v>1</v>
      </c>
      <c r="AN17" s="58">
        <v>1</v>
      </c>
      <c r="AO17" s="58">
        <v>1</v>
      </c>
      <c r="AP17" s="21">
        <v>1</v>
      </c>
      <c r="AQ17" s="17" t="e">
        <f t="shared" si="18"/>
        <v>#N/A</v>
      </c>
      <c r="AR17" s="17" t="e">
        <f t="shared" si="19"/>
        <v>#N/A</v>
      </c>
      <c r="AS17" s="17" t="e">
        <f t="shared" si="20"/>
        <v>#N/A</v>
      </c>
      <c r="AT17" s="17" t="e">
        <f t="shared" si="21"/>
        <v>#N/A</v>
      </c>
      <c r="AU17" s="17" t="e">
        <f t="shared" si="22"/>
        <v>#N/A</v>
      </c>
      <c r="AV17" s="17" t="e">
        <f t="shared" si="23"/>
        <v>#N/A</v>
      </c>
      <c r="AW17" s="17" t="e">
        <f t="shared" si="24"/>
        <v>#N/A</v>
      </c>
      <c r="AX17" s="45">
        <f t="shared" si="25"/>
        <v>0</v>
      </c>
      <c r="AY17" s="7">
        <f t="shared" si="31"/>
        <v>15</v>
      </c>
      <c r="AZ17" s="204" t="s">
        <v>167</v>
      </c>
      <c r="BA17" s="19" t="s">
        <v>126</v>
      </c>
      <c r="BB17" s="213">
        <v>1</v>
      </c>
      <c r="BC17" s="212" t="s">
        <v>180</v>
      </c>
      <c r="BD17" s="213">
        <v>3</v>
      </c>
      <c r="BE17" s="212">
        <v>5</v>
      </c>
      <c r="BF17" s="213" t="s">
        <v>180</v>
      </c>
      <c r="BG17" s="214" t="s">
        <v>180</v>
      </c>
      <c r="BH17" s="224" t="s">
        <v>183</v>
      </c>
      <c r="BI17" s="219" t="s">
        <v>184</v>
      </c>
      <c r="BJ17" s="130" t="s">
        <v>185</v>
      </c>
      <c r="BK17" s="212">
        <v>5</v>
      </c>
      <c r="BL17" s="43"/>
      <c r="BM17" s="43"/>
      <c r="BN17" s="10"/>
      <c r="BO17" s="11"/>
      <c r="BR17" s="10"/>
      <c r="BS17" s="11">
        <f t="shared" si="32"/>
      </c>
      <c r="BT17" s="7">
        <f t="shared" si="1"/>
      </c>
      <c r="BU17" s="38">
        <f t="shared" si="33"/>
        <v>0</v>
      </c>
      <c r="BV17" s="10">
        <f t="shared" si="2"/>
      </c>
      <c r="BW17" s="10">
        <f t="shared" si="34"/>
      </c>
      <c r="BX17" s="10"/>
      <c r="BY17" s="11">
        <v>15</v>
      </c>
      <c r="BZ17" s="19"/>
      <c r="CA17" s="8"/>
      <c r="CB17" s="8"/>
      <c r="CD17" s="8"/>
      <c r="CF17" s="8"/>
      <c r="CG17" s="19"/>
      <c r="CH17" s="8"/>
      <c r="CI17" s="8"/>
      <c r="CJ17" s="8"/>
      <c r="CK17" s="8"/>
      <c r="CL17" s="8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FU17" s="10"/>
    </row>
    <row r="18" spans="1:177" ht="18" customHeight="1" thickBot="1">
      <c r="A18" s="1"/>
      <c r="B18" s="101"/>
      <c r="C18" s="101"/>
      <c r="D18" s="99"/>
      <c r="E18" s="61">
        <f t="shared" si="4"/>
      </c>
      <c r="F18" s="103" t="str">
        <f t="shared" si="26"/>
        <v>No</v>
      </c>
      <c r="G18" s="135">
        <f t="shared" si="5"/>
      </c>
      <c r="H18" s="136">
        <f t="shared" si="6"/>
      </c>
      <c r="I18" s="136">
        <f t="shared" si="7"/>
      </c>
      <c r="J18" s="136">
        <f t="shared" si="8"/>
      </c>
      <c r="K18" s="137">
        <f t="shared" si="9"/>
      </c>
      <c r="L18" s="136">
        <f t="shared" si="10"/>
      </c>
      <c r="M18" s="138">
        <f t="shared" si="11"/>
      </c>
      <c r="N18" s="138">
        <f t="shared" si="12"/>
      </c>
      <c r="O18" s="62">
        <f t="shared" si="27"/>
      </c>
      <c r="P18" s="62">
        <f t="shared" si="13"/>
      </c>
      <c r="Q18" s="62">
        <f t="shared" si="14"/>
      </c>
      <c r="R18" s="63">
        <f t="shared" si="28"/>
      </c>
      <c r="S18" s="234" t="str">
        <f t="shared" si="29"/>
        <v>1</v>
      </c>
      <c r="T18" s="235"/>
      <c r="U18" s="86"/>
      <c r="V18" s="82"/>
      <c r="W18" s="87"/>
      <c r="X18" s="83"/>
      <c r="Y18" s="84"/>
      <c r="Z18" s="83"/>
      <c r="AA18" s="84"/>
      <c r="AB18" s="85"/>
      <c r="AC18" s="200">
        <f t="shared" si="30"/>
        <v>0</v>
      </c>
      <c r="AD18" s="64">
        <f t="shared" si="15"/>
        <v>0</v>
      </c>
      <c r="AE18" s="88">
        <f t="shared" si="16"/>
        <v>0</v>
      </c>
      <c r="AF18" s="105"/>
      <c r="AG18" s="106"/>
      <c r="AH18" s="65">
        <f t="shared" si="17"/>
      </c>
      <c r="AI18" s="46"/>
      <c r="AJ18" s="58">
        <v>1</v>
      </c>
      <c r="AK18" s="58">
        <v>1</v>
      </c>
      <c r="AL18" s="58">
        <v>1</v>
      </c>
      <c r="AM18" s="58">
        <v>1</v>
      </c>
      <c r="AN18" s="58">
        <v>1</v>
      </c>
      <c r="AO18" s="58">
        <v>1</v>
      </c>
      <c r="AP18" s="21">
        <v>1</v>
      </c>
      <c r="AQ18" s="17" t="e">
        <f t="shared" si="18"/>
        <v>#N/A</v>
      </c>
      <c r="AR18" s="17" t="e">
        <f t="shared" si="19"/>
        <v>#N/A</v>
      </c>
      <c r="AS18" s="17" t="e">
        <f t="shared" si="20"/>
        <v>#N/A</v>
      </c>
      <c r="AT18" s="17" t="e">
        <f t="shared" si="21"/>
        <v>#N/A</v>
      </c>
      <c r="AU18" s="17" t="e">
        <f t="shared" si="22"/>
        <v>#N/A</v>
      </c>
      <c r="AV18" s="17" t="e">
        <f t="shared" si="23"/>
        <v>#N/A</v>
      </c>
      <c r="AW18" s="17" t="e">
        <f t="shared" si="24"/>
        <v>#N/A</v>
      </c>
      <c r="AX18" s="45">
        <f t="shared" si="25"/>
        <v>0</v>
      </c>
      <c r="AY18" s="7">
        <f t="shared" si="31"/>
        <v>16</v>
      </c>
      <c r="AZ18" s="204" t="s">
        <v>168</v>
      </c>
      <c r="BA18" s="19" t="s">
        <v>119</v>
      </c>
      <c r="BB18" s="213">
        <v>1</v>
      </c>
      <c r="BC18" s="212">
        <v>5</v>
      </c>
      <c r="BD18" s="213">
        <v>7</v>
      </c>
      <c r="BE18" s="212">
        <v>6</v>
      </c>
      <c r="BF18" s="213" t="s">
        <v>180</v>
      </c>
      <c r="BG18" s="214" t="s">
        <v>87</v>
      </c>
      <c r="BH18" s="225" t="s">
        <v>81</v>
      </c>
      <c r="BI18" s="220" t="s">
        <v>186</v>
      </c>
      <c r="BJ18" s="132" t="s">
        <v>187</v>
      </c>
      <c r="BK18" s="212">
        <v>7</v>
      </c>
      <c r="BL18" s="43"/>
      <c r="BM18" s="43"/>
      <c r="BN18" s="10"/>
      <c r="BO18" s="11"/>
      <c r="BR18" s="10"/>
      <c r="BS18" s="11">
        <f t="shared" si="32"/>
      </c>
      <c r="BT18" s="7">
        <f t="shared" si="1"/>
      </c>
      <c r="BU18" s="38">
        <f t="shared" si="33"/>
        <v>0</v>
      </c>
      <c r="BV18" s="10">
        <f t="shared" si="2"/>
      </c>
      <c r="BW18" s="10">
        <f t="shared" si="34"/>
      </c>
      <c r="BX18" s="10"/>
      <c r="BY18" s="11">
        <v>16</v>
      </c>
      <c r="BZ18" s="19"/>
      <c r="CA18" s="8"/>
      <c r="CB18" s="8"/>
      <c r="CD18" s="8"/>
      <c r="CF18" s="8"/>
      <c r="CG18" s="19"/>
      <c r="CH18" s="8"/>
      <c r="CI18" s="8"/>
      <c r="CJ18" s="8"/>
      <c r="CK18" s="8"/>
      <c r="CL18" s="8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FU18" s="10"/>
    </row>
    <row r="19" spans="1:177" ht="18" customHeight="1" thickBot="1">
      <c r="A19" s="1"/>
      <c r="B19" s="101"/>
      <c r="C19" s="101"/>
      <c r="D19" s="99"/>
      <c r="E19" s="61">
        <f t="shared" si="4"/>
      </c>
      <c r="F19" s="103" t="str">
        <f>IF(LEFT(E19,1)="*","Yes","No")</f>
        <v>No</v>
      </c>
      <c r="G19" s="135">
        <f t="shared" si="5"/>
      </c>
      <c r="H19" s="136">
        <f t="shared" si="6"/>
      </c>
      <c r="I19" s="136">
        <f t="shared" si="7"/>
      </c>
      <c r="J19" s="136">
        <f t="shared" si="8"/>
      </c>
      <c r="K19" s="137">
        <f t="shared" si="9"/>
      </c>
      <c r="L19" s="136">
        <f t="shared" si="10"/>
      </c>
      <c r="M19" s="138">
        <f t="shared" si="11"/>
      </c>
      <c r="N19" s="138">
        <f t="shared" si="12"/>
      </c>
      <c r="O19" s="62">
        <f t="shared" si="27"/>
      </c>
      <c r="P19" s="62">
        <f t="shared" si="13"/>
      </c>
      <c r="Q19" s="62">
        <f t="shared" si="14"/>
      </c>
      <c r="R19" s="63">
        <f t="shared" si="28"/>
      </c>
      <c r="S19" s="234" t="str">
        <f>IF(AD19="MVP","N/A",IF(AD19&gt;=27,"7",IF(AD19&gt;=20,"6",IF(AD19&gt;=14,"5",IF(AD19&gt;=9,"4",IF(AD19&gt;=5,"3",IF(AD19&gt;=2,"2","1")))))))</f>
        <v>1</v>
      </c>
      <c r="T19" s="235"/>
      <c r="U19" s="86"/>
      <c r="V19" s="82"/>
      <c r="W19" s="87"/>
      <c r="X19" s="83"/>
      <c r="Y19" s="84"/>
      <c r="Z19" s="83"/>
      <c r="AA19" s="84"/>
      <c r="AB19" s="85"/>
      <c r="AC19" s="200">
        <f t="shared" si="30"/>
        <v>0</v>
      </c>
      <c r="AD19" s="64">
        <f>IF(LEFT(E19,1)="*","MVP",X19+Y19+Z19+AA19+AB19+AG19)</f>
        <v>0</v>
      </c>
      <c r="AE19" s="88">
        <f t="shared" si="16"/>
        <v>0</v>
      </c>
      <c r="AF19" s="105"/>
      <c r="AG19" s="106"/>
      <c r="AH19" s="65">
        <f t="shared" si="17"/>
      </c>
      <c r="AI19" s="46"/>
      <c r="AJ19" s="58">
        <v>1</v>
      </c>
      <c r="AK19" s="58">
        <v>1</v>
      </c>
      <c r="AL19" s="58">
        <v>1</v>
      </c>
      <c r="AM19" s="58">
        <v>1</v>
      </c>
      <c r="AN19" s="58">
        <v>1</v>
      </c>
      <c r="AO19" s="58">
        <v>1</v>
      </c>
      <c r="AP19" s="21">
        <v>1</v>
      </c>
      <c r="AQ19" s="17" t="e">
        <f t="shared" si="18"/>
        <v>#N/A</v>
      </c>
      <c r="AR19" s="17" t="e">
        <f t="shared" si="19"/>
        <v>#N/A</v>
      </c>
      <c r="AS19" s="17" t="e">
        <f t="shared" si="20"/>
        <v>#N/A</v>
      </c>
      <c r="AT19" s="17" t="e">
        <f t="shared" si="21"/>
        <v>#N/A</v>
      </c>
      <c r="AU19" s="17" t="e">
        <f t="shared" si="22"/>
        <v>#N/A</v>
      </c>
      <c r="AV19" s="17" t="e">
        <f t="shared" si="23"/>
        <v>#N/A</v>
      </c>
      <c r="AW19" s="17" t="e">
        <f t="shared" si="24"/>
        <v>#N/A</v>
      </c>
      <c r="AX19" s="45">
        <f t="shared" si="25"/>
        <v>0</v>
      </c>
      <c r="AY19" s="7">
        <f t="shared" si="31"/>
        <v>17</v>
      </c>
      <c r="AZ19" s="204" t="s">
        <v>169</v>
      </c>
      <c r="BA19" s="19" t="s">
        <v>119</v>
      </c>
      <c r="BB19" s="213">
        <v>1</v>
      </c>
      <c r="BC19" s="212">
        <v>5</v>
      </c>
      <c r="BD19" s="213">
        <v>5</v>
      </c>
      <c r="BE19" s="212">
        <v>4</v>
      </c>
      <c r="BF19" s="213">
        <v>1</v>
      </c>
      <c r="BG19" s="214" t="s">
        <v>87</v>
      </c>
      <c r="BH19" s="225" t="s">
        <v>102</v>
      </c>
      <c r="BI19" s="220"/>
      <c r="BJ19" s="132" t="s">
        <v>188</v>
      </c>
      <c r="BK19" s="212">
        <v>7</v>
      </c>
      <c r="BL19" s="43"/>
      <c r="BM19" s="43"/>
      <c r="BN19" s="10"/>
      <c r="BO19" s="11"/>
      <c r="BR19" s="10"/>
      <c r="BS19" s="11">
        <f t="shared" si="32"/>
      </c>
      <c r="BT19" s="7">
        <f>IF(BU19=0,"",BU19)</f>
      </c>
      <c r="BU19" s="38">
        <f t="shared" si="33"/>
        <v>0</v>
      </c>
      <c r="BV19" s="10">
        <f>IF(BU19=0,"",COUNTIF($E$3:$E$17,BU19))</f>
      </c>
      <c r="BW19" s="10">
        <f t="shared" si="34"/>
      </c>
      <c r="BX19" s="10"/>
      <c r="BY19" s="11">
        <v>16</v>
      </c>
      <c r="BZ19" s="19"/>
      <c r="CA19" s="8"/>
      <c r="CB19" s="8"/>
      <c r="CD19" s="8"/>
      <c r="CF19" s="8"/>
      <c r="CG19" s="19"/>
      <c r="CH19" s="8"/>
      <c r="CI19" s="8"/>
      <c r="CJ19" s="8"/>
      <c r="CK19" s="8"/>
      <c r="CL19" s="8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FU19" s="10"/>
    </row>
    <row r="20" spans="1:177" ht="18" customHeight="1" thickBot="1">
      <c r="A20" s="1"/>
      <c r="B20" s="101"/>
      <c r="C20" s="101"/>
      <c r="D20" s="99"/>
      <c r="E20" s="61">
        <f t="shared" si="4"/>
      </c>
      <c r="F20" s="103" t="str">
        <f>IF(LEFT(E20,1)="*","Yes","No")</f>
        <v>No</v>
      </c>
      <c r="G20" s="135">
        <f t="shared" si="5"/>
      </c>
      <c r="H20" s="136">
        <f t="shared" si="6"/>
      </c>
      <c r="I20" s="136">
        <f t="shared" si="7"/>
      </c>
      <c r="J20" s="136">
        <f t="shared" si="8"/>
      </c>
      <c r="K20" s="137">
        <f t="shared" si="9"/>
      </c>
      <c r="L20" s="136">
        <f t="shared" si="10"/>
      </c>
      <c r="M20" s="138">
        <f t="shared" si="11"/>
      </c>
      <c r="N20" s="138">
        <f t="shared" si="12"/>
      </c>
      <c r="O20" s="62">
        <f t="shared" si="27"/>
      </c>
      <c r="P20" s="62">
        <f t="shared" si="13"/>
      </c>
      <c r="Q20" s="62">
        <f t="shared" si="14"/>
      </c>
      <c r="R20" s="63">
        <f t="shared" si="28"/>
      </c>
      <c r="S20" s="234" t="str">
        <f>IF(AD20="MVP","N/A",IF(AD20&gt;=27,"7",IF(AD20&gt;=20,"6",IF(AD20&gt;=14,"5",IF(AD20&gt;=9,"4",IF(AD20&gt;=5,"3",IF(AD20&gt;=2,"2","1")))))))</f>
        <v>1</v>
      </c>
      <c r="T20" s="235"/>
      <c r="U20" s="86"/>
      <c r="V20" s="82"/>
      <c r="W20" s="87"/>
      <c r="X20" s="83"/>
      <c r="Y20" s="84"/>
      <c r="Z20" s="83"/>
      <c r="AA20" s="84"/>
      <c r="AB20" s="85"/>
      <c r="AC20" s="200">
        <f t="shared" si="30"/>
        <v>0</v>
      </c>
      <c r="AD20" s="64">
        <f>IF(LEFT(E20,1)="*","MVP",X20+Y20+Z20+AA20+AB20+AG20)</f>
        <v>0</v>
      </c>
      <c r="AE20" s="88">
        <f t="shared" si="16"/>
        <v>0</v>
      </c>
      <c r="AF20" s="105"/>
      <c r="AG20" s="106"/>
      <c r="AH20" s="65">
        <f t="shared" si="17"/>
      </c>
      <c r="AI20" s="46"/>
      <c r="AJ20" s="58">
        <v>1</v>
      </c>
      <c r="AK20" s="58">
        <v>1</v>
      </c>
      <c r="AL20" s="58">
        <v>1</v>
      </c>
      <c r="AM20" s="58">
        <v>1</v>
      </c>
      <c r="AN20" s="58">
        <v>1</v>
      </c>
      <c r="AO20" s="58">
        <v>1</v>
      </c>
      <c r="AP20" s="21">
        <v>1</v>
      </c>
      <c r="AQ20" s="17" t="e">
        <f t="shared" si="18"/>
        <v>#N/A</v>
      </c>
      <c r="AR20" s="17" t="e">
        <f t="shared" si="19"/>
        <v>#N/A</v>
      </c>
      <c r="AS20" s="17" t="e">
        <f t="shared" si="20"/>
        <v>#N/A</v>
      </c>
      <c r="AT20" s="17" t="e">
        <f t="shared" si="21"/>
        <v>#N/A</v>
      </c>
      <c r="AU20" s="17" t="e">
        <f t="shared" si="22"/>
        <v>#N/A</v>
      </c>
      <c r="AV20" s="17" t="e">
        <f t="shared" si="23"/>
        <v>#N/A</v>
      </c>
      <c r="AW20" s="17" t="e">
        <f t="shared" si="24"/>
        <v>#N/A</v>
      </c>
      <c r="AX20" s="45">
        <f t="shared" si="25"/>
        <v>0</v>
      </c>
      <c r="AY20" s="7">
        <f t="shared" si="31"/>
        <v>18</v>
      </c>
      <c r="AZ20" s="204" t="s">
        <v>170</v>
      </c>
      <c r="BA20" s="19" t="s">
        <v>119</v>
      </c>
      <c r="BB20" s="213">
        <v>1</v>
      </c>
      <c r="BC20" s="212" t="s">
        <v>180</v>
      </c>
      <c r="BD20" s="213">
        <v>3</v>
      </c>
      <c r="BE20" s="212">
        <v>5</v>
      </c>
      <c r="BF20" s="213" t="s">
        <v>180</v>
      </c>
      <c r="BG20" s="214" t="s">
        <v>180</v>
      </c>
      <c r="BH20" s="224" t="s">
        <v>189</v>
      </c>
      <c r="BI20" s="220" t="s">
        <v>190</v>
      </c>
      <c r="BJ20" s="132" t="s">
        <v>185</v>
      </c>
      <c r="BK20" s="212">
        <v>7</v>
      </c>
      <c r="BL20" s="43"/>
      <c r="BM20" s="43"/>
      <c r="BN20" s="10"/>
      <c r="BO20" s="11"/>
      <c r="BR20" s="10"/>
      <c r="BS20" s="11">
        <f t="shared" si="32"/>
      </c>
      <c r="BT20" s="7">
        <f>IF(BU20=0,"",BU20)</f>
      </c>
      <c r="BU20" s="38">
        <f t="shared" si="33"/>
        <v>0</v>
      </c>
      <c r="BV20" s="10">
        <f>IF(BU20=0,"",COUNTIF($E$3:$E$17,BU20))</f>
      </c>
      <c r="BW20" s="10">
        <f t="shared" si="34"/>
      </c>
      <c r="BX20" s="10"/>
      <c r="BY20" s="11">
        <v>16</v>
      </c>
      <c r="BZ20" s="19"/>
      <c r="CA20" s="8"/>
      <c r="CB20" s="8"/>
      <c r="CD20" s="8"/>
      <c r="CF20" s="8"/>
      <c r="CG20" s="19"/>
      <c r="CH20" s="8"/>
      <c r="CI20" s="8"/>
      <c r="CJ20" s="8"/>
      <c r="CK20" s="8"/>
      <c r="CL20" s="8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FU20" s="10"/>
    </row>
    <row r="21" spans="1:177" ht="18" customHeight="1" thickBot="1">
      <c r="A21" s="1"/>
      <c r="B21" s="101"/>
      <c r="C21" s="101"/>
      <c r="D21" s="99"/>
      <c r="E21" s="61">
        <f t="shared" si="4"/>
      </c>
      <c r="F21" s="103" t="str">
        <f>IF(LEFT(E21,1)="*","Yes","No")</f>
        <v>No</v>
      </c>
      <c r="G21" s="135">
        <f t="shared" si="5"/>
      </c>
      <c r="H21" s="136">
        <f t="shared" si="6"/>
      </c>
      <c r="I21" s="136">
        <f t="shared" si="7"/>
      </c>
      <c r="J21" s="136">
        <f t="shared" si="8"/>
      </c>
      <c r="K21" s="137">
        <f t="shared" si="9"/>
      </c>
      <c r="L21" s="136">
        <f t="shared" si="10"/>
      </c>
      <c r="M21" s="138">
        <f t="shared" si="11"/>
      </c>
      <c r="N21" s="138">
        <f t="shared" si="12"/>
      </c>
      <c r="O21" s="62">
        <f t="shared" si="27"/>
      </c>
      <c r="P21" s="62">
        <f t="shared" si="13"/>
      </c>
      <c r="Q21" s="62">
        <f t="shared" si="14"/>
      </c>
      <c r="R21" s="63">
        <f t="shared" si="28"/>
      </c>
      <c r="S21" s="234" t="str">
        <f>IF(AD21="MVP","N/A",IF(AD21&gt;=27,"7",IF(AD21&gt;=20,"6",IF(AD21&gt;=14,"5",IF(AD21&gt;=9,"4",IF(AD21&gt;=5,"3",IF(AD21&gt;=2,"2","1")))))))</f>
        <v>1</v>
      </c>
      <c r="T21" s="235"/>
      <c r="U21" s="86"/>
      <c r="V21" s="82"/>
      <c r="W21" s="87"/>
      <c r="X21" s="83"/>
      <c r="Y21" s="84"/>
      <c r="Z21" s="83"/>
      <c r="AA21" s="84"/>
      <c r="AB21" s="85"/>
      <c r="AC21" s="200">
        <f t="shared" si="30"/>
        <v>0</v>
      </c>
      <c r="AD21" s="64">
        <f>IF(LEFT(E21,1)="*","MVP",X21+Y21+Z21+AA21+AB21+AG21)</f>
        <v>0</v>
      </c>
      <c r="AE21" s="88">
        <f t="shared" si="16"/>
        <v>0</v>
      </c>
      <c r="AF21" s="105"/>
      <c r="AG21" s="106"/>
      <c r="AH21" s="65">
        <f t="shared" si="17"/>
      </c>
      <c r="AI21" s="46"/>
      <c r="AJ21" s="58">
        <v>1</v>
      </c>
      <c r="AK21" s="58">
        <v>1</v>
      </c>
      <c r="AL21" s="58">
        <v>1</v>
      </c>
      <c r="AM21" s="58">
        <v>1</v>
      </c>
      <c r="AN21" s="58">
        <v>1</v>
      </c>
      <c r="AO21" s="58">
        <v>1</v>
      </c>
      <c r="AP21" s="21">
        <v>1</v>
      </c>
      <c r="AQ21" s="17" t="e">
        <f t="shared" si="18"/>
        <v>#N/A</v>
      </c>
      <c r="AR21" s="17" t="e">
        <f t="shared" si="19"/>
        <v>#N/A</v>
      </c>
      <c r="AS21" s="17" t="e">
        <f t="shared" si="20"/>
        <v>#N/A</v>
      </c>
      <c r="AT21" s="17" t="e">
        <f t="shared" si="21"/>
        <v>#N/A</v>
      </c>
      <c r="AU21" s="17" t="e">
        <f t="shared" si="22"/>
        <v>#N/A</v>
      </c>
      <c r="AV21" s="17" t="e">
        <f t="shared" si="23"/>
        <v>#N/A</v>
      </c>
      <c r="AW21" s="17" t="e">
        <f t="shared" si="24"/>
        <v>#N/A</v>
      </c>
      <c r="AX21" s="45">
        <f t="shared" si="25"/>
        <v>0</v>
      </c>
      <c r="AY21" s="7">
        <f t="shared" si="31"/>
        <v>19</v>
      </c>
      <c r="AZ21" s="204" t="s">
        <v>171</v>
      </c>
      <c r="BA21" s="19" t="s">
        <v>61</v>
      </c>
      <c r="BB21" s="213">
        <v>1</v>
      </c>
      <c r="BC21" s="212">
        <v>5</v>
      </c>
      <c r="BD21" s="213">
        <v>4</v>
      </c>
      <c r="BE21" s="212">
        <v>4</v>
      </c>
      <c r="BF21" s="213">
        <v>1</v>
      </c>
      <c r="BG21" s="214" t="s">
        <v>88</v>
      </c>
      <c r="BH21" s="225" t="s">
        <v>97</v>
      </c>
      <c r="BI21" s="220" t="s">
        <v>191</v>
      </c>
      <c r="BJ21" s="132" t="s">
        <v>192</v>
      </c>
      <c r="BK21" s="212">
        <v>10</v>
      </c>
      <c r="BL21" s="43"/>
      <c r="BM21" s="43"/>
      <c r="BN21" s="10"/>
      <c r="BO21" s="11"/>
      <c r="BR21" s="10"/>
      <c r="BS21" s="11">
        <f t="shared" si="32"/>
      </c>
      <c r="BT21" s="7">
        <f>IF(BU21=0,"",BU21)</f>
      </c>
      <c r="BU21" s="38">
        <f t="shared" si="33"/>
        <v>0</v>
      </c>
      <c r="BV21" s="10">
        <f>IF(BU21=0,"",COUNTIF($E$3:$E$17,BU21))</f>
      </c>
      <c r="BW21" s="10">
        <f t="shared" si="34"/>
      </c>
      <c r="BX21" s="10"/>
      <c r="BY21" s="11">
        <v>16</v>
      </c>
      <c r="BZ21" s="19"/>
      <c r="CA21" s="8"/>
      <c r="CB21" s="8"/>
      <c r="CD21" s="8"/>
      <c r="CF21" s="8"/>
      <c r="CG21" s="19"/>
      <c r="CH21" s="8"/>
      <c r="CI21" s="8"/>
      <c r="CJ21" s="8"/>
      <c r="CK21" s="8"/>
      <c r="CL21" s="8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FU21" s="10"/>
    </row>
    <row r="22" spans="1:177" ht="18" customHeight="1" thickBot="1">
      <c r="A22" s="1"/>
      <c r="B22" s="101"/>
      <c r="C22" s="101"/>
      <c r="D22" s="151"/>
      <c r="E22" s="152">
        <f t="shared" si="4"/>
      </c>
      <c r="F22" s="153" t="str">
        <f>IF(LEFT(E22,1)="*","Yes","No")</f>
        <v>No</v>
      </c>
      <c r="G22" s="154">
        <f t="shared" si="5"/>
      </c>
      <c r="H22" s="155">
        <f t="shared" si="6"/>
      </c>
      <c r="I22" s="155">
        <f t="shared" si="7"/>
      </c>
      <c r="J22" s="155">
        <f t="shared" si="8"/>
      </c>
      <c r="K22" s="156">
        <f t="shared" si="9"/>
      </c>
      <c r="L22" s="155">
        <f t="shared" si="10"/>
      </c>
      <c r="M22" s="157">
        <f t="shared" si="11"/>
      </c>
      <c r="N22" s="157">
        <f t="shared" si="12"/>
      </c>
      <c r="O22" s="158">
        <f t="shared" si="27"/>
      </c>
      <c r="P22" s="158">
        <f t="shared" si="13"/>
      </c>
      <c r="Q22" s="158">
        <f t="shared" si="14"/>
      </c>
      <c r="R22" s="159">
        <f t="shared" si="28"/>
      </c>
      <c r="S22" s="236" t="str">
        <f>IF(AD22="MVP","N/A",IF(AD22&gt;=27,"7",IF(AD22&gt;=20,"6",IF(AD22&gt;=14,"5",IF(AD22&gt;=9,"4",IF(AD22&gt;=5,"3",IF(AD22&gt;=2,"2","1")))))))</f>
        <v>1</v>
      </c>
      <c r="T22" s="237"/>
      <c r="U22" s="160"/>
      <c r="V22" s="161"/>
      <c r="W22" s="162"/>
      <c r="X22" s="163"/>
      <c r="Y22" s="164"/>
      <c r="Z22" s="163"/>
      <c r="AA22" s="164"/>
      <c r="AB22" s="165"/>
      <c r="AC22" s="201">
        <f t="shared" si="30"/>
        <v>0</v>
      </c>
      <c r="AD22" s="166">
        <f>IF(LEFT(E22,1)="*","MVP",X22+Y22+Z22+AA22+AB22+AG22)</f>
        <v>0</v>
      </c>
      <c r="AE22" s="167">
        <f t="shared" si="16"/>
        <v>0</v>
      </c>
      <c r="AF22" s="105"/>
      <c r="AG22" s="106"/>
      <c r="AH22" s="65">
        <f t="shared" si="17"/>
      </c>
      <c r="AI22" s="46"/>
      <c r="AJ22" s="58">
        <v>1</v>
      </c>
      <c r="AK22" s="58">
        <v>1</v>
      </c>
      <c r="AL22" s="58">
        <v>1</v>
      </c>
      <c r="AM22" s="58">
        <v>1</v>
      </c>
      <c r="AN22" s="58">
        <v>1</v>
      </c>
      <c r="AO22" s="58">
        <v>1</v>
      </c>
      <c r="AP22" s="21">
        <v>1</v>
      </c>
      <c r="AQ22" s="17" t="e">
        <f t="shared" si="18"/>
        <v>#N/A</v>
      </c>
      <c r="AR22" s="17" t="e">
        <f t="shared" si="19"/>
        <v>#N/A</v>
      </c>
      <c r="AS22" s="17" t="e">
        <f t="shared" si="20"/>
        <v>#N/A</v>
      </c>
      <c r="AT22" s="17" t="e">
        <f t="shared" si="21"/>
        <v>#N/A</v>
      </c>
      <c r="AU22" s="17" t="e">
        <f t="shared" si="22"/>
        <v>#N/A</v>
      </c>
      <c r="AV22" s="17" t="e">
        <f t="shared" si="23"/>
        <v>#N/A</v>
      </c>
      <c r="AW22" s="17" t="e">
        <f t="shared" si="24"/>
        <v>#N/A</v>
      </c>
      <c r="AX22" s="45">
        <f t="shared" si="25"/>
        <v>0</v>
      </c>
      <c r="AY22" s="7">
        <f t="shared" si="31"/>
        <v>20</v>
      </c>
      <c r="AZ22" s="204" t="s">
        <v>172</v>
      </c>
      <c r="BA22" s="19" t="s">
        <v>120</v>
      </c>
      <c r="BB22" s="213">
        <v>4</v>
      </c>
      <c r="BC22" s="212">
        <v>5</v>
      </c>
      <c r="BD22" s="213" t="s">
        <v>180</v>
      </c>
      <c r="BE22" s="212">
        <v>6</v>
      </c>
      <c r="BF22" s="213">
        <v>2</v>
      </c>
      <c r="BG22" s="214" t="s">
        <v>87</v>
      </c>
      <c r="BH22" s="225" t="s">
        <v>193</v>
      </c>
      <c r="BI22" s="220" t="s">
        <v>194</v>
      </c>
      <c r="BJ22" s="132" t="s">
        <v>195</v>
      </c>
      <c r="BK22" s="212">
        <v>12</v>
      </c>
      <c r="BL22" s="43"/>
      <c r="BM22" s="43"/>
      <c r="BN22" s="10"/>
      <c r="BO22" s="11"/>
      <c r="BR22" s="10"/>
      <c r="BS22" s="11">
        <f>IF(BT22="","",BS17+1)</f>
      </c>
      <c r="BT22" s="7">
        <f>IF(BU22=0,"",BU22)</f>
      </c>
      <c r="BU22" s="38">
        <f t="shared" si="33"/>
        <v>0</v>
      </c>
      <c r="BV22" s="10">
        <f>IF(BU22=0,"",COUNTIF($E$3:$E$17,BU22))</f>
      </c>
      <c r="BW22" s="10">
        <f t="shared" si="34"/>
      </c>
      <c r="BX22" s="10"/>
      <c r="BY22" s="11">
        <v>17</v>
      </c>
      <c r="BZ22" s="19"/>
      <c r="CA22" s="8"/>
      <c r="CB22" s="8"/>
      <c r="CD22" s="8"/>
      <c r="CF22" s="8"/>
      <c r="CG22" s="19"/>
      <c r="CH22" s="8"/>
      <c r="CI22" s="8"/>
      <c r="CJ22" s="8"/>
      <c r="CK22" s="8"/>
      <c r="CL22" s="8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FU22" s="10"/>
    </row>
    <row r="23" spans="1:177" ht="18" customHeight="1" thickBot="1">
      <c r="A23" s="1"/>
      <c r="B23" s="168"/>
      <c r="C23" s="168"/>
      <c r="D23" s="229"/>
      <c r="E23" s="230"/>
      <c r="F23" s="230"/>
      <c r="G23" s="242" t="s">
        <v>3</v>
      </c>
      <c r="H23" s="243"/>
      <c r="I23" s="243"/>
      <c r="J23" s="243"/>
      <c r="K23" s="243"/>
      <c r="L23" s="243"/>
      <c r="M23" s="243"/>
      <c r="N23" s="244"/>
      <c r="O23" s="231" t="str">
        <f>VLOOKUP(AQ25,BO2:BP28,2,FALSE)</f>
        <v>Rebs</v>
      </c>
      <c r="P23" s="231"/>
      <c r="Q23" s="231"/>
      <c r="R23" s="231"/>
      <c r="S23" s="231"/>
      <c r="T23" s="77"/>
      <c r="U23" s="77"/>
      <c r="V23" s="77"/>
      <c r="W23" s="77"/>
      <c r="X23" s="77"/>
      <c r="Y23" s="77"/>
      <c r="Z23" s="77"/>
      <c r="AA23" s="78"/>
      <c r="AB23" s="77"/>
      <c r="AC23" s="77"/>
      <c r="AD23" s="104"/>
      <c r="AE23" s="232">
        <f>SUM(AE3:AE22)</f>
        <v>75</v>
      </c>
      <c r="AF23" s="66"/>
      <c r="AG23" s="66"/>
      <c r="AH23" s="67"/>
      <c r="AI23" s="2"/>
      <c r="AJ23" s="18"/>
      <c r="AK23" s="18"/>
      <c r="AL23" s="18"/>
      <c r="AM23" s="18"/>
      <c r="AN23" s="18"/>
      <c r="AO23" s="18"/>
      <c r="AP23" s="18"/>
      <c r="AQ23" s="6"/>
      <c r="AR23" s="6"/>
      <c r="AS23" s="6"/>
      <c r="AT23" s="6"/>
      <c r="AU23" s="6"/>
      <c r="AV23" s="6"/>
      <c r="AW23" s="6"/>
      <c r="AX23" s="6"/>
      <c r="AY23" s="7">
        <f t="shared" si="31"/>
        <v>21</v>
      </c>
      <c r="AZ23" s="204" t="s">
        <v>173</v>
      </c>
      <c r="BA23" s="19" t="s">
        <v>61</v>
      </c>
      <c r="BB23" s="213">
        <v>1</v>
      </c>
      <c r="BC23" s="212">
        <v>6</v>
      </c>
      <c r="BD23" s="213">
        <v>6</v>
      </c>
      <c r="BE23" s="212">
        <v>4</v>
      </c>
      <c r="BF23" s="213">
        <v>1</v>
      </c>
      <c r="BG23" s="214" t="s">
        <v>181</v>
      </c>
      <c r="BH23" s="225" t="s">
        <v>189</v>
      </c>
      <c r="BI23" s="220" t="s">
        <v>196</v>
      </c>
      <c r="BJ23" s="132" t="s">
        <v>192</v>
      </c>
      <c r="BK23" s="212">
        <v>13</v>
      </c>
      <c r="BL23" s="10"/>
      <c r="BM23" s="10"/>
      <c r="BN23" s="10"/>
      <c r="BO23" s="11"/>
      <c r="BP23" s="12"/>
      <c r="BQ23" s="12"/>
      <c r="BR23" s="10"/>
      <c r="BS23" s="11"/>
      <c r="BT23" s="10"/>
      <c r="BU23" s="38"/>
      <c r="BV23" s="10"/>
      <c r="BW23" s="10"/>
      <c r="BX23" s="10"/>
      <c r="BY23" s="11">
        <v>18</v>
      </c>
      <c r="CA23" s="7"/>
      <c r="CB23" s="7"/>
      <c r="CC23" s="7"/>
      <c r="CD23" s="7"/>
      <c r="CE23" s="7"/>
      <c r="CF23" s="7"/>
      <c r="CH23" s="7"/>
      <c r="CI23" s="7"/>
      <c r="CJ23" s="29"/>
      <c r="CK23" s="7"/>
      <c r="CL23" s="7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FU23" s="10"/>
    </row>
    <row r="24" spans="1:177" ht="18" customHeight="1">
      <c r="A24" s="1"/>
      <c r="B24" s="168"/>
      <c r="C24" s="168"/>
      <c r="D24" s="170"/>
      <c r="E24" s="170"/>
      <c r="F24" s="170"/>
      <c r="G24" s="179"/>
      <c r="H24" s="179"/>
      <c r="I24" s="179"/>
      <c r="J24" s="179"/>
      <c r="K24" s="172"/>
      <c r="L24" s="172"/>
      <c r="M24" s="172"/>
      <c r="N24" s="172"/>
      <c r="O24" s="180"/>
      <c r="P24" s="180"/>
      <c r="Q24" s="180"/>
      <c r="R24" s="181"/>
      <c r="S24" s="172"/>
      <c r="T24" s="233"/>
      <c r="U24" s="233"/>
      <c r="V24" s="233"/>
      <c r="W24" s="233"/>
      <c r="X24" s="173"/>
      <c r="Y24" s="174"/>
      <c r="Z24" s="175"/>
      <c r="AA24" s="176"/>
      <c r="AB24" s="177"/>
      <c r="AC24" s="177"/>
      <c r="AD24" s="178"/>
      <c r="AE24" s="171"/>
      <c r="AF24" s="178"/>
      <c r="AG24" s="178"/>
      <c r="AH24" s="169"/>
      <c r="AI24" s="2"/>
      <c r="AJ24" s="18"/>
      <c r="AK24" s="18"/>
      <c r="AL24" s="18"/>
      <c r="AM24" s="18"/>
      <c r="AN24" s="18"/>
      <c r="AO24" s="18"/>
      <c r="AP24" s="50" t="b">
        <v>0</v>
      </c>
      <c r="AQ24" s="6"/>
      <c r="AR24" s="6"/>
      <c r="AS24" s="6"/>
      <c r="AT24" s="6"/>
      <c r="AU24" s="6"/>
      <c r="AV24" s="6"/>
      <c r="AW24" s="6"/>
      <c r="AX24" s="6"/>
      <c r="AY24" s="7">
        <f t="shared" si="31"/>
        <v>22</v>
      </c>
      <c r="AZ24" s="204" t="s">
        <v>174</v>
      </c>
      <c r="BA24" s="19" t="s">
        <v>120</v>
      </c>
      <c r="BB24" s="213">
        <v>4</v>
      </c>
      <c r="BC24" s="212">
        <v>5</v>
      </c>
      <c r="BD24" s="213" t="s">
        <v>180</v>
      </c>
      <c r="BE24" s="212">
        <v>6</v>
      </c>
      <c r="BF24" s="213">
        <v>2</v>
      </c>
      <c r="BG24" s="214" t="s">
        <v>87</v>
      </c>
      <c r="BH24" s="225" t="s">
        <v>81</v>
      </c>
      <c r="BI24" s="220" t="s">
        <v>194</v>
      </c>
      <c r="BJ24" s="132" t="s">
        <v>197</v>
      </c>
      <c r="BK24" s="212">
        <v>13</v>
      </c>
      <c r="BL24" s="10"/>
      <c r="BM24" s="10"/>
      <c r="BN24" s="10"/>
      <c r="BO24" s="11"/>
      <c r="BP24" s="12"/>
      <c r="BQ24" s="12"/>
      <c r="BR24" s="10"/>
      <c r="BS24" s="11"/>
      <c r="BT24" s="10"/>
      <c r="BU24" s="38"/>
      <c r="BV24" s="10"/>
      <c r="BW24" s="10"/>
      <c r="BX24" s="10"/>
      <c r="BY24" s="11">
        <v>20</v>
      </c>
      <c r="BZ24" s="14"/>
      <c r="CA24" s="13"/>
      <c r="CB24" s="13"/>
      <c r="CC24" s="13"/>
      <c r="CD24" s="13"/>
      <c r="CE24" s="13"/>
      <c r="CF24" s="14"/>
      <c r="CG24" s="13"/>
      <c r="CH24" s="13"/>
      <c r="CI24" s="13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FU24" s="10"/>
    </row>
    <row r="25" spans="1:177" ht="17.25" customHeight="1" hidden="1">
      <c r="A25" s="1"/>
      <c r="B25" s="182"/>
      <c r="C25" s="182"/>
      <c r="D25" s="188"/>
      <c r="E25" s="188"/>
      <c r="F25" s="188"/>
      <c r="G25" s="189"/>
      <c r="H25" s="189"/>
      <c r="I25" s="189"/>
      <c r="J25" s="189"/>
      <c r="K25" s="189"/>
      <c r="L25" s="189"/>
      <c r="M25" s="189"/>
      <c r="N25" s="189"/>
      <c r="O25" s="190"/>
      <c r="P25" s="190"/>
      <c r="Q25" s="190"/>
      <c r="R25" s="191"/>
      <c r="S25" s="192"/>
      <c r="T25" s="184"/>
      <c r="U25" s="184"/>
      <c r="V25" s="184"/>
      <c r="W25" s="184"/>
      <c r="X25" s="184"/>
      <c r="Y25" s="184"/>
      <c r="Z25" s="185"/>
      <c r="AA25" s="186"/>
      <c r="AB25" s="187"/>
      <c r="AC25" s="187"/>
      <c r="AD25" s="183"/>
      <c r="AE25" s="198"/>
      <c r="AF25" s="66"/>
      <c r="AG25" s="66"/>
      <c r="AH25" s="68"/>
      <c r="AI25" s="2"/>
      <c r="AJ25" s="18"/>
      <c r="AK25" s="18"/>
      <c r="AL25" s="18"/>
      <c r="AM25" s="18"/>
      <c r="AN25" s="18"/>
      <c r="AO25" s="18"/>
      <c r="AP25" s="18"/>
      <c r="AQ25" s="21">
        <v>4</v>
      </c>
      <c r="AR25" s="6"/>
      <c r="AS25" s="6"/>
      <c r="AT25" s="6"/>
      <c r="AU25" s="6"/>
      <c r="AV25" s="6"/>
      <c r="AW25" s="6"/>
      <c r="AX25" s="6"/>
      <c r="AY25" s="7">
        <f t="shared" si="31"/>
        <v>23</v>
      </c>
      <c r="AZ25" s="204" t="s">
        <v>175</v>
      </c>
      <c r="BA25" s="19" t="s">
        <v>61</v>
      </c>
      <c r="BB25" s="213">
        <v>2</v>
      </c>
      <c r="BC25" s="212">
        <v>5</v>
      </c>
      <c r="BD25" s="213">
        <v>3</v>
      </c>
      <c r="BE25" s="212">
        <v>4</v>
      </c>
      <c r="BF25" s="213">
        <v>1</v>
      </c>
      <c r="BG25" s="214" t="s">
        <v>89</v>
      </c>
      <c r="BH25" s="225" t="s">
        <v>113</v>
      </c>
      <c r="BI25" s="220" t="s">
        <v>198</v>
      </c>
      <c r="BJ25" s="132" t="s">
        <v>199</v>
      </c>
      <c r="BK25" s="212">
        <v>17</v>
      </c>
      <c r="BL25" s="10"/>
      <c r="BM25" s="10"/>
      <c r="BN25" s="10"/>
      <c r="BO25" s="11"/>
      <c r="BP25" s="12"/>
      <c r="BQ25" s="12"/>
      <c r="BR25" s="10"/>
      <c r="BS25" s="11"/>
      <c r="BT25" s="10"/>
      <c r="BU25" s="38"/>
      <c r="BV25" s="10"/>
      <c r="BW25" s="10"/>
      <c r="BX25" s="10"/>
      <c r="BY25" s="11"/>
      <c r="BZ25" s="14"/>
      <c r="CA25" s="13"/>
      <c r="CB25" s="13"/>
      <c r="CC25" s="13"/>
      <c r="CD25" s="13"/>
      <c r="CE25" s="13"/>
      <c r="CF25" s="14"/>
      <c r="CG25" s="13"/>
      <c r="CH25" s="13"/>
      <c r="CI25" s="13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FU25" s="10"/>
    </row>
    <row r="26" spans="1:177" ht="17.25" customHeight="1" hidden="1">
      <c r="A26" s="1"/>
      <c r="B26" s="182"/>
      <c r="C26" s="182"/>
      <c r="D26" s="48"/>
      <c r="E26" s="48"/>
      <c r="F26" s="48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193"/>
      <c r="U26" s="193"/>
      <c r="V26" s="193"/>
      <c r="W26" s="193"/>
      <c r="X26" s="193"/>
      <c r="Y26" s="193"/>
      <c r="Z26" s="194"/>
      <c r="AA26" s="195"/>
      <c r="AB26" s="196"/>
      <c r="AC26" s="196"/>
      <c r="AD26" s="197"/>
      <c r="AE26" s="46"/>
      <c r="AF26" s="66"/>
      <c r="AG26" s="66"/>
      <c r="AH26" s="67"/>
      <c r="AI26" s="2"/>
      <c r="AJ26" s="18"/>
      <c r="AK26" s="18"/>
      <c r="AL26" s="18"/>
      <c r="AM26" s="18"/>
      <c r="AN26" s="18"/>
      <c r="AO26" s="18"/>
      <c r="AP26" s="18"/>
      <c r="AQ26" s="6"/>
      <c r="AR26" s="6"/>
      <c r="AS26" s="6"/>
      <c r="AT26" s="6"/>
      <c r="AU26" s="6"/>
      <c r="AV26" s="6"/>
      <c r="AW26" s="6"/>
      <c r="AX26" s="6"/>
      <c r="AY26" s="7">
        <f t="shared" si="31"/>
        <v>24</v>
      </c>
      <c r="AZ26" s="204" t="s">
        <v>176</v>
      </c>
      <c r="BA26" s="19" t="s">
        <v>61</v>
      </c>
      <c r="BB26" s="213">
        <v>3</v>
      </c>
      <c r="BC26" s="212" t="s">
        <v>180</v>
      </c>
      <c r="BD26" s="213">
        <v>4</v>
      </c>
      <c r="BE26" s="212">
        <v>4</v>
      </c>
      <c r="BF26" s="213">
        <v>2</v>
      </c>
      <c r="BG26" s="214" t="s">
        <v>88</v>
      </c>
      <c r="BH26" s="225" t="s">
        <v>189</v>
      </c>
      <c r="BI26" s="220" t="s">
        <v>200</v>
      </c>
      <c r="BJ26" s="132" t="s">
        <v>201</v>
      </c>
      <c r="BK26" s="212">
        <v>14</v>
      </c>
      <c r="BL26" s="22"/>
      <c r="BM26" s="22"/>
      <c r="BN26" s="22"/>
      <c r="BO26" s="11"/>
      <c r="BP26" s="12"/>
      <c r="BQ26" s="12"/>
      <c r="BR26" s="10"/>
      <c r="BS26" s="11"/>
      <c r="BT26" s="10"/>
      <c r="BU26" s="38"/>
      <c r="BV26" s="10"/>
      <c r="BW26" s="10"/>
      <c r="BX26" s="10"/>
      <c r="BY26" s="11"/>
      <c r="BZ26" s="14"/>
      <c r="CA26" s="13"/>
      <c r="CB26" s="13"/>
      <c r="CC26" s="13"/>
      <c r="CD26" s="13"/>
      <c r="CE26" s="13"/>
      <c r="CF26" s="14"/>
      <c r="CG26" s="13"/>
      <c r="CH26" s="13"/>
      <c r="CI26" s="13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FU26" s="22"/>
    </row>
    <row r="27" spans="1:177" ht="17.25" customHeight="1" hidden="1" thickBot="1">
      <c r="A27" s="1"/>
      <c r="B27" s="41"/>
      <c r="C27" s="41"/>
      <c r="D27" s="2"/>
      <c r="E27" s="3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5"/>
      <c r="AF27" s="2"/>
      <c r="AG27" s="2"/>
      <c r="AH27" s="41"/>
      <c r="AI27" s="2"/>
      <c r="AJ27" s="18"/>
      <c r="AK27" s="18"/>
      <c r="AL27" s="18"/>
      <c r="AM27" s="18"/>
      <c r="AN27" s="18"/>
      <c r="AO27" s="18"/>
      <c r="AP27" s="18"/>
      <c r="AQ27" s="6"/>
      <c r="AR27" s="6"/>
      <c r="AS27" s="6"/>
      <c r="AT27" s="6"/>
      <c r="AU27" s="6"/>
      <c r="AV27" s="6"/>
      <c r="AW27" s="6"/>
      <c r="AX27" s="6"/>
      <c r="AY27" s="7">
        <f t="shared" si="31"/>
        <v>25</v>
      </c>
      <c r="AZ27" s="204" t="s">
        <v>177</v>
      </c>
      <c r="BA27" s="19" t="s">
        <v>119</v>
      </c>
      <c r="BB27" s="213">
        <v>3</v>
      </c>
      <c r="BC27" s="212">
        <v>5</v>
      </c>
      <c r="BD27" s="213">
        <v>6</v>
      </c>
      <c r="BE27" s="212">
        <v>4</v>
      </c>
      <c r="BF27" s="213">
        <v>2</v>
      </c>
      <c r="BG27" s="214" t="s">
        <v>87</v>
      </c>
      <c r="BH27" s="225" t="s">
        <v>94</v>
      </c>
      <c r="BI27" s="220" t="s">
        <v>202</v>
      </c>
      <c r="BJ27" s="221" t="s">
        <v>203</v>
      </c>
      <c r="BK27" s="212">
        <v>14</v>
      </c>
      <c r="BL27" s="22"/>
      <c r="BM27" s="22"/>
      <c r="BN27" s="22"/>
      <c r="BO27" s="11"/>
      <c r="BP27" s="12"/>
      <c r="BQ27" s="12"/>
      <c r="BR27" s="10"/>
      <c r="BS27" s="11"/>
      <c r="BT27" s="10"/>
      <c r="BU27" s="38"/>
      <c r="BV27" s="10"/>
      <c r="BW27" s="10"/>
      <c r="BX27" s="10"/>
      <c r="BY27" s="11"/>
      <c r="BZ27" s="14"/>
      <c r="CA27" s="13"/>
      <c r="CB27" s="13"/>
      <c r="CC27" s="13"/>
      <c r="CD27" s="13"/>
      <c r="CE27" s="13"/>
      <c r="CF27" s="14"/>
      <c r="CG27" s="13"/>
      <c r="CH27" s="13"/>
      <c r="CI27" s="13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FU27" s="22"/>
    </row>
    <row r="28" spans="1:177" ht="17.25" customHeight="1" hidden="1" thickBot="1">
      <c r="A28" s="1"/>
      <c r="B28" s="41"/>
      <c r="C28" s="41"/>
      <c r="D28" s="89"/>
      <c r="E28" s="140" t="s">
        <v>122</v>
      </c>
      <c r="F28" s="90"/>
      <c r="G28" s="141">
        <f>COUNTIF($G$3:$G$22,"L")</f>
        <v>1</v>
      </c>
      <c r="H28" s="89"/>
      <c r="I28" s="89"/>
      <c r="J28" s="89"/>
      <c r="K28" s="89"/>
      <c r="L28" s="89"/>
      <c r="M28" s="89"/>
      <c r="N28" s="89"/>
      <c r="O28" s="62"/>
      <c r="P28" s="139"/>
      <c r="Q28" s="139"/>
      <c r="R28" s="63"/>
      <c r="S28" s="89"/>
      <c r="T28" s="2"/>
      <c r="U28" s="4"/>
      <c r="V28" s="4"/>
      <c r="W28" s="4"/>
      <c r="X28" s="2"/>
      <c r="Y28" s="2"/>
      <c r="Z28" s="2"/>
      <c r="AA28" s="2"/>
      <c r="AB28" s="2"/>
      <c r="AC28" s="2"/>
      <c r="AD28" s="2"/>
      <c r="AE28" s="110">
        <f aca="true" t="shared" si="35" ref="AE28:AE40">COUNTIF(AJ3:AO3,14)</f>
        <v>0</v>
      </c>
      <c r="AF28" s="5"/>
      <c r="AG28" s="5"/>
      <c r="AH28" s="41"/>
      <c r="AI28" s="2"/>
      <c r="AJ28" s="18"/>
      <c r="AK28" s="18"/>
      <c r="AL28" s="18"/>
      <c r="AM28" s="18"/>
      <c r="AN28" s="18"/>
      <c r="AO28" s="18"/>
      <c r="AP28" s="18"/>
      <c r="AQ28" s="6"/>
      <c r="AR28" s="6"/>
      <c r="AS28" s="6"/>
      <c r="AT28" s="6"/>
      <c r="AU28" s="6"/>
      <c r="AV28" s="6"/>
      <c r="AW28" s="6"/>
      <c r="AX28" s="6"/>
      <c r="AY28" s="7">
        <f t="shared" si="31"/>
        <v>26</v>
      </c>
      <c r="AZ28" s="204" t="s">
        <v>178</v>
      </c>
      <c r="BA28" s="19" t="s">
        <v>120</v>
      </c>
      <c r="BB28" s="213">
        <v>4</v>
      </c>
      <c r="BC28" s="212">
        <v>6</v>
      </c>
      <c r="BD28" s="213">
        <v>6</v>
      </c>
      <c r="BE28" s="212">
        <v>4</v>
      </c>
      <c r="BF28" s="213">
        <v>3</v>
      </c>
      <c r="BG28" s="214" t="s">
        <v>87</v>
      </c>
      <c r="BH28" s="225" t="s">
        <v>81</v>
      </c>
      <c r="BI28" s="220" t="s">
        <v>204</v>
      </c>
      <c r="BJ28" s="132" t="s">
        <v>205</v>
      </c>
      <c r="BK28" s="212">
        <v>20</v>
      </c>
      <c r="BL28" s="22"/>
      <c r="BM28" s="22"/>
      <c r="BN28" s="22"/>
      <c r="BO28" s="11"/>
      <c r="BP28" s="12"/>
      <c r="BQ28" s="12"/>
      <c r="BR28" s="10"/>
      <c r="BS28" s="11"/>
      <c r="BT28" s="10"/>
      <c r="BU28" s="38"/>
      <c r="BV28" s="10"/>
      <c r="BW28" s="10"/>
      <c r="BX28" s="10"/>
      <c r="BY28" s="11"/>
      <c r="BZ28" s="14"/>
      <c r="CA28" s="13"/>
      <c r="CB28" s="13"/>
      <c r="CC28" s="13"/>
      <c r="CD28" s="13"/>
      <c r="CE28" s="13"/>
      <c r="CF28" s="14"/>
      <c r="CG28" s="13"/>
      <c r="CH28" s="13"/>
      <c r="CI28" s="13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FU28" s="22"/>
    </row>
    <row r="29" spans="1:177" ht="17.25" customHeight="1" hidden="1">
      <c r="A29" s="1"/>
      <c r="B29" s="2"/>
      <c r="C29" s="2"/>
      <c r="D29" s="89"/>
      <c r="E29" s="140" t="s">
        <v>121</v>
      </c>
      <c r="F29" s="90"/>
      <c r="G29" s="141">
        <f>COUNTIF($G$3:$G$22,"T")</f>
        <v>3</v>
      </c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91"/>
      <c r="V29" s="91"/>
      <c r="W29" s="91"/>
      <c r="X29" s="89"/>
      <c r="Y29" s="89"/>
      <c r="Z29" s="89"/>
      <c r="AA29" s="107">
        <f aca="true" t="shared" si="36" ref="AA29:AA41">AP3</f>
        <v>6</v>
      </c>
      <c r="AB29" s="108" t="str">
        <f aca="true" t="shared" si="37" ref="AB29:AB42">VLOOKUP(AA29,$BS$1:$BU$15,2,FALSE)</f>
        <v>Rebel Commander</v>
      </c>
      <c r="AC29" s="108"/>
      <c r="AD29" s="109">
        <f>COUNTIF(AB29,"*Guard*")</f>
        <v>0</v>
      </c>
      <c r="AE29" s="115">
        <f t="shared" si="35"/>
        <v>0</v>
      </c>
      <c r="AF29" s="111">
        <f aca="true" t="shared" si="38" ref="AF29:AF42">IF(AND(AE28&gt;0,AD29&lt;1),"ERROR",0)</f>
        <v>0</v>
      </c>
      <c r="AG29" s="5"/>
      <c r="AH29" s="41"/>
      <c r="AI29" s="2"/>
      <c r="AJ29" s="18"/>
      <c r="AK29" s="18"/>
      <c r="AL29" s="18"/>
      <c r="AM29" s="18"/>
      <c r="AN29" s="18"/>
      <c r="AO29" s="18"/>
      <c r="AP29" s="18"/>
      <c r="AQ29" s="6"/>
      <c r="AR29" s="6"/>
      <c r="AS29" s="6"/>
      <c r="AT29" s="6"/>
      <c r="AU29" s="6"/>
      <c r="AV29" s="6"/>
      <c r="AW29" s="6"/>
      <c r="AX29" s="6"/>
      <c r="AY29" s="7">
        <f t="shared" si="31"/>
        <v>27</v>
      </c>
      <c r="AZ29" s="206" t="s">
        <v>179</v>
      </c>
      <c r="BA29" s="19" t="s">
        <v>120</v>
      </c>
      <c r="BB29" s="216">
        <v>3</v>
      </c>
      <c r="BC29" s="215">
        <v>4</v>
      </c>
      <c r="BD29" s="216">
        <v>6</v>
      </c>
      <c r="BE29" s="215">
        <v>4</v>
      </c>
      <c r="BF29" s="216">
        <v>2</v>
      </c>
      <c r="BG29" s="217" t="s">
        <v>87</v>
      </c>
      <c r="BH29" s="226" t="s">
        <v>81</v>
      </c>
      <c r="BI29" s="222" t="s">
        <v>206</v>
      </c>
      <c r="BJ29" s="134" t="s">
        <v>197</v>
      </c>
      <c r="BK29" s="215">
        <v>20</v>
      </c>
      <c r="BL29" s="22"/>
      <c r="BM29" s="22"/>
      <c r="BN29" s="22"/>
      <c r="BO29" s="11"/>
      <c r="BR29" s="10"/>
      <c r="BS29" s="11"/>
      <c r="BT29" s="10"/>
      <c r="BU29" s="38"/>
      <c r="BV29" s="10"/>
      <c r="BW29" s="10"/>
      <c r="BX29" s="10"/>
      <c r="BY29" s="11"/>
      <c r="BZ29" s="14"/>
      <c r="CA29" s="13"/>
      <c r="CB29" s="13"/>
      <c r="CC29" s="13"/>
      <c r="CD29" s="13"/>
      <c r="CE29" s="13"/>
      <c r="CF29" s="14"/>
      <c r="CG29" s="13"/>
      <c r="CH29" s="13"/>
      <c r="CI29" s="13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FU29" s="22"/>
    </row>
    <row r="30" spans="1:177" ht="17.25" customHeight="1" hidden="1">
      <c r="A30" s="1"/>
      <c r="B30" s="89"/>
      <c r="C30" s="89"/>
      <c r="D30" s="89"/>
      <c r="E30" s="140" t="s">
        <v>123</v>
      </c>
      <c r="F30" s="140"/>
      <c r="G30" s="141">
        <f>COUNTIF($G$3:$G$22,"S")</f>
        <v>3</v>
      </c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91"/>
      <c r="V30" s="91"/>
      <c r="W30" s="91"/>
      <c r="X30" s="89"/>
      <c r="Y30" s="89"/>
      <c r="Z30" s="89"/>
      <c r="AA30" s="112">
        <f t="shared" si="36"/>
        <v>3</v>
      </c>
      <c r="AB30" s="113" t="str">
        <f t="shared" si="37"/>
        <v>Grogan with Onslaught Cannon</v>
      </c>
      <c r="AC30" s="113"/>
      <c r="AD30" s="114">
        <f aca="true" t="shared" si="39" ref="AD30:AD42">COUNTIF(AB30,"*Guard*")</f>
        <v>0</v>
      </c>
      <c r="AE30" s="115">
        <f t="shared" si="35"/>
        <v>0</v>
      </c>
      <c r="AF30" s="116">
        <f t="shared" si="38"/>
        <v>0</v>
      </c>
      <c r="AG30" s="92"/>
      <c r="AH30" s="41"/>
      <c r="AI30" s="2"/>
      <c r="AJ30" s="18"/>
      <c r="AK30" s="18"/>
      <c r="AL30" s="18"/>
      <c r="AM30" s="18"/>
      <c r="AN30" s="18"/>
      <c r="AO30" s="18"/>
      <c r="AP30" s="18"/>
      <c r="AQ30" s="6"/>
      <c r="AR30" s="6"/>
      <c r="AS30" s="6"/>
      <c r="AT30" s="6"/>
      <c r="AU30" s="6"/>
      <c r="AV30" s="6"/>
      <c r="AW30" s="6"/>
      <c r="AX30" s="6"/>
      <c r="AY30" s="7">
        <f t="shared" si="31"/>
        <v>28</v>
      </c>
      <c r="AZ30" s="205" t="s">
        <v>154</v>
      </c>
      <c r="BA30" s="19" t="s">
        <v>126</v>
      </c>
      <c r="BB30" s="210">
        <v>1</v>
      </c>
      <c r="BC30" s="209" t="s">
        <v>180</v>
      </c>
      <c r="BD30" s="210" t="s">
        <v>180</v>
      </c>
      <c r="BE30" s="209">
        <v>5</v>
      </c>
      <c r="BF30" s="210">
        <v>1</v>
      </c>
      <c r="BG30" s="211" t="s">
        <v>180</v>
      </c>
      <c r="BH30" s="223" t="s">
        <v>189</v>
      </c>
      <c r="BI30" s="127" t="s">
        <v>207</v>
      </c>
      <c r="BJ30" s="128"/>
      <c r="BK30" s="209">
        <v>3</v>
      </c>
      <c r="BL30" s="22"/>
      <c r="BM30" s="22"/>
      <c r="BN30" s="43"/>
      <c r="BO30" s="11"/>
      <c r="BP30" s="12"/>
      <c r="BQ30" s="12"/>
      <c r="BR30" s="10"/>
      <c r="BS30" s="11"/>
      <c r="BT30" s="10"/>
      <c r="BU30" s="38"/>
      <c r="BV30" s="10"/>
      <c r="BW30" s="10"/>
      <c r="BX30" s="10"/>
      <c r="BY30" s="11"/>
      <c r="BZ30" s="14"/>
      <c r="CA30" s="13"/>
      <c r="CB30" s="13"/>
      <c r="CC30" s="13"/>
      <c r="CD30" s="13"/>
      <c r="CE30" s="13"/>
      <c r="CF30" s="14"/>
      <c r="CG30" s="13"/>
      <c r="CH30" s="13"/>
      <c r="CI30" s="13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FU30" s="43"/>
    </row>
    <row r="31" spans="1:177" ht="12.75" hidden="1">
      <c r="A31" s="1"/>
      <c r="B31" s="89"/>
      <c r="C31" s="89"/>
      <c r="D31" s="92"/>
      <c r="E31" s="143" t="s">
        <v>124</v>
      </c>
      <c r="F31" s="143"/>
      <c r="G31" s="141">
        <f>COUNTIF($G$3:$G$22,"R")</f>
        <v>0</v>
      </c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89"/>
      <c r="U31" s="91"/>
      <c r="V31" s="91"/>
      <c r="W31" s="91"/>
      <c r="X31" s="89"/>
      <c r="Y31" s="89"/>
      <c r="Z31" s="89"/>
      <c r="AA31" s="112">
        <f t="shared" si="36"/>
        <v>2</v>
      </c>
      <c r="AB31" s="113" t="str">
        <f t="shared" si="37"/>
        <v>Grogan wih Desolator</v>
      </c>
      <c r="AC31" s="113"/>
      <c r="AD31" s="114">
        <f t="shared" si="39"/>
        <v>0</v>
      </c>
      <c r="AE31" s="115">
        <f t="shared" si="35"/>
        <v>0</v>
      </c>
      <c r="AF31" s="116">
        <f t="shared" si="38"/>
        <v>0</v>
      </c>
      <c r="AG31" s="92"/>
      <c r="AH31" s="41"/>
      <c r="AI31" s="2"/>
      <c r="AJ31" s="18"/>
      <c r="AK31" s="18"/>
      <c r="AL31" s="18"/>
      <c r="AM31" s="18"/>
      <c r="AN31" s="18"/>
      <c r="AO31" s="18"/>
      <c r="AP31" s="18"/>
      <c r="AQ31" s="6"/>
      <c r="AR31" s="6"/>
      <c r="AS31" s="6"/>
      <c r="AT31" s="6"/>
      <c r="AU31" s="6"/>
      <c r="AV31" s="6"/>
      <c r="AW31" s="6"/>
      <c r="AX31" s="6"/>
      <c r="AY31" s="7">
        <f t="shared" si="31"/>
        <v>29</v>
      </c>
      <c r="AZ31" s="204" t="s">
        <v>155</v>
      </c>
      <c r="BA31" s="19" t="s">
        <v>120</v>
      </c>
      <c r="BB31" s="213">
        <v>1</v>
      </c>
      <c r="BC31" s="212">
        <v>7</v>
      </c>
      <c r="BD31" s="213">
        <v>7</v>
      </c>
      <c r="BE31" s="212">
        <v>6</v>
      </c>
      <c r="BF31" s="213">
        <v>1</v>
      </c>
      <c r="BG31" s="214" t="s">
        <v>180</v>
      </c>
      <c r="BH31" s="224" t="s">
        <v>189</v>
      </c>
      <c r="BI31" s="129" t="s">
        <v>208</v>
      </c>
      <c r="BJ31" s="130" t="s">
        <v>192</v>
      </c>
      <c r="BK31" s="212">
        <v>3</v>
      </c>
      <c r="BL31" s="22"/>
      <c r="BM31" s="43"/>
      <c r="BN31" s="22"/>
      <c r="BO31" s="11"/>
      <c r="BP31" s="12"/>
      <c r="BQ31" s="12"/>
      <c r="BR31" s="10"/>
      <c r="BS31" s="11"/>
      <c r="BT31" s="10"/>
      <c r="BU31" s="38"/>
      <c r="BV31" s="10"/>
      <c r="BW31" s="10"/>
      <c r="BX31" s="10"/>
      <c r="BY31" s="11"/>
      <c r="BZ31" s="14"/>
      <c r="CA31" s="13"/>
      <c r="CB31" s="13"/>
      <c r="CC31" s="13"/>
      <c r="CD31" s="13"/>
      <c r="CE31" s="13"/>
      <c r="CF31" s="14"/>
      <c r="CG31" s="13"/>
      <c r="CH31" s="13"/>
      <c r="CI31" s="13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FU31" s="22"/>
    </row>
    <row r="32" spans="1:177" ht="18" customHeight="1" hidden="1">
      <c r="A32" s="1"/>
      <c r="B32" s="89"/>
      <c r="C32" s="89"/>
      <c r="D32" s="94"/>
      <c r="E32" s="144" t="s">
        <v>125</v>
      </c>
      <c r="F32" s="144"/>
      <c r="G32" s="141">
        <f>COUNTIF($G$3:$G$22,"U")</f>
        <v>0</v>
      </c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2"/>
      <c r="U32" s="93"/>
      <c r="V32" s="93"/>
      <c r="W32" s="93"/>
      <c r="X32" s="92"/>
      <c r="Y32" s="92"/>
      <c r="Z32" s="92"/>
      <c r="AA32" s="112">
        <f t="shared" si="36"/>
        <v>12</v>
      </c>
      <c r="AB32" s="113" t="str">
        <f t="shared" si="37"/>
        <v>Teraton</v>
      </c>
      <c r="AC32" s="113"/>
      <c r="AD32" s="114">
        <f t="shared" si="39"/>
        <v>0</v>
      </c>
      <c r="AE32" s="115">
        <f t="shared" si="35"/>
        <v>0</v>
      </c>
      <c r="AF32" s="116">
        <f t="shared" si="38"/>
        <v>0</v>
      </c>
      <c r="AG32" s="92"/>
      <c r="AH32" s="41"/>
      <c r="AI32" s="2"/>
      <c r="AJ32" s="245" t="s">
        <v>138</v>
      </c>
      <c r="AK32" s="245"/>
      <c r="AL32" s="18"/>
      <c r="AM32" s="18"/>
      <c r="AN32" s="18"/>
      <c r="AO32" s="18"/>
      <c r="AP32" s="18"/>
      <c r="AQ32" s="6"/>
      <c r="AR32" s="6"/>
      <c r="AS32" s="6"/>
      <c r="AT32" s="6"/>
      <c r="AU32" s="6"/>
      <c r="AV32" s="6"/>
      <c r="AW32" s="6"/>
      <c r="AX32" s="6"/>
      <c r="AY32" s="7">
        <f t="shared" si="31"/>
        <v>30</v>
      </c>
      <c r="AZ32" s="204" t="s">
        <v>156</v>
      </c>
      <c r="BA32" s="19" t="s">
        <v>126</v>
      </c>
      <c r="BB32" s="213">
        <v>1</v>
      </c>
      <c r="BC32" s="212">
        <v>5</v>
      </c>
      <c r="BD32" s="213">
        <v>6</v>
      </c>
      <c r="BE32" s="212">
        <v>6</v>
      </c>
      <c r="BF32" s="213">
        <v>1</v>
      </c>
      <c r="BG32" s="214" t="s">
        <v>87</v>
      </c>
      <c r="BH32" s="225" t="s">
        <v>209</v>
      </c>
      <c r="BI32" s="131"/>
      <c r="BJ32" s="132" t="s">
        <v>182</v>
      </c>
      <c r="BK32" s="212">
        <v>4</v>
      </c>
      <c r="BL32" s="22"/>
      <c r="BM32" s="22"/>
      <c r="BN32" s="22"/>
      <c r="BO32" s="11"/>
      <c r="BP32" s="12"/>
      <c r="BQ32" s="12"/>
      <c r="BR32" s="10"/>
      <c r="BS32" s="11"/>
      <c r="BT32" s="10"/>
      <c r="BU32" s="38"/>
      <c r="BV32" s="10"/>
      <c r="BW32" s="10"/>
      <c r="BX32" s="10"/>
      <c r="BY32" s="11"/>
      <c r="BZ32" s="14"/>
      <c r="CA32" s="13"/>
      <c r="CB32" s="13"/>
      <c r="CC32" s="13"/>
      <c r="CD32" s="13"/>
      <c r="CE32" s="13"/>
      <c r="CF32" s="14"/>
      <c r="CG32" s="13"/>
      <c r="CH32" s="13"/>
      <c r="CI32" s="13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FU32" s="22"/>
    </row>
    <row r="33" spans="1:177" ht="18" customHeight="1" hidden="1">
      <c r="A33" s="1"/>
      <c r="B33" s="92"/>
      <c r="C33" s="92"/>
      <c r="D33" s="94"/>
      <c r="E33" s="144" t="s">
        <v>127</v>
      </c>
      <c r="F33" s="144"/>
      <c r="G33" s="142">
        <f>SUM(G30:G32)</f>
        <v>3</v>
      </c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6"/>
      <c r="V33" s="96"/>
      <c r="W33" s="96"/>
      <c r="X33" s="94"/>
      <c r="Y33" s="94"/>
      <c r="Z33" s="97"/>
      <c r="AA33" s="112">
        <f t="shared" si="36"/>
        <v>7</v>
      </c>
      <c r="AB33" s="113" t="str">
        <f t="shared" si="37"/>
        <v>Rebel Human</v>
      </c>
      <c r="AC33" s="113"/>
      <c r="AD33" s="114">
        <f t="shared" si="39"/>
        <v>0</v>
      </c>
      <c r="AE33" s="115">
        <f t="shared" si="35"/>
        <v>0</v>
      </c>
      <c r="AF33" s="116">
        <f t="shared" si="38"/>
        <v>0</v>
      </c>
      <c r="AG33" s="92"/>
      <c r="AH33" s="41"/>
      <c r="AI33" s="2"/>
      <c r="AJ33" s="18">
        <v>1</v>
      </c>
      <c r="AK33" s="18">
        <v>0</v>
      </c>
      <c r="AL33" s="18"/>
      <c r="AM33" s="18"/>
      <c r="AN33" s="18"/>
      <c r="AO33" s="18">
        <v>1</v>
      </c>
      <c r="AP33" s="18"/>
      <c r="AQ33" s="6"/>
      <c r="AR33" s="6"/>
      <c r="AS33" s="6"/>
      <c r="AT33" s="6"/>
      <c r="AU33" s="6"/>
      <c r="AV33" s="6"/>
      <c r="AW33" s="6"/>
      <c r="AX33" s="6"/>
      <c r="AY33" s="7">
        <f t="shared" si="31"/>
        <v>31</v>
      </c>
      <c r="AZ33" s="204" t="s">
        <v>157</v>
      </c>
      <c r="BA33" s="19" t="s">
        <v>119</v>
      </c>
      <c r="BB33" s="213">
        <v>1</v>
      </c>
      <c r="BC33" s="212">
        <v>6</v>
      </c>
      <c r="BD33" s="213">
        <v>4</v>
      </c>
      <c r="BE33" s="212">
        <v>6</v>
      </c>
      <c r="BF33" s="213">
        <v>1</v>
      </c>
      <c r="BG33" s="214" t="s">
        <v>87</v>
      </c>
      <c r="BH33" s="225" t="s">
        <v>210</v>
      </c>
      <c r="BI33" s="131" t="s">
        <v>211</v>
      </c>
      <c r="BJ33" s="132" t="s">
        <v>212</v>
      </c>
      <c r="BK33" s="212">
        <v>6</v>
      </c>
      <c r="BL33" s="22"/>
      <c r="BM33" s="22"/>
      <c r="BN33" s="22"/>
      <c r="BO33" s="11"/>
      <c r="BP33" s="12"/>
      <c r="BQ33" s="12"/>
      <c r="BR33" s="10"/>
      <c r="BS33" s="11"/>
      <c r="BT33" s="10"/>
      <c r="BU33" s="38"/>
      <c r="BV33" s="10"/>
      <c r="BW33" s="10"/>
      <c r="BX33" s="10"/>
      <c r="BY33" s="11"/>
      <c r="BZ33" s="14"/>
      <c r="CA33" s="13"/>
      <c r="CB33" s="13"/>
      <c r="CC33" s="13"/>
      <c r="CD33" s="13"/>
      <c r="CE33" s="13"/>
      <c r="CF33" s="14"/>
      <c r="CG33" s="13"/>
      <c r="CH33" s="13"/>
      <c r="CI33" s="13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FU33" s="22"/>
    </row>
    <row r="34" spans="1:177" ht="18" customHeight="1" hidden="1">
      <c r="A34" s="1"/>
      <c r="B34" s="94"/>
      <c r="C34" s="94"/>
      <c r="D34" s="94"/>
      <c r="E34" s="95"/>
      <c r="F34" s="95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6"/>
      <c r="V34" s="96"/>
      <c r="W34" s="96"/>
      <c r="X34" s="94"/>
      <c r="Y34" s="94"/>
      <c r="Z34" s="97"/>
      <c r="AA34" s="112">
        <f t="shared" si="36"/>
        <v>8</v>
      </c>
      <c r="AB34" s="113" t="str">
        <f t="shared" si="37"/>
        <v>Rebel Sorak </v>
      </c>
      <c r="AC34" s="113"/>
      <c r="AD34" s="114">
        <f t="shared" si="39"/>
        <v>0</v>
      </c>
      <c r="AE34" s="115">
        <f t="shared" si="35"/>
        <v>0</v>
      </c>
      <c r="AF34" s="116">
        <f t="shared" si="38"/>
        <v>0</v>
      </c>
      <c r="AG34" s="94"/>
      <c r="AJ34" s="55">
        <v>2</v>
      </c>
      <c r="AK34" s="54">
        <v>1</v>
      </c>
      <c r="AO34" s="52">
        <f>AO33+1</f>
        <v>2</v>
      </c>
      <c r="AP34" s="52"/>
      <c r="AQ34" s="53" t="s">
        <v>57</v>
      </c>
      <c r="AS34" s="150" t="s">
        <v>132</v>
      </c>
      <c r="AY34" s="7">
        <f t="shared" si="31"/>
        <v>32</v>
      </c>
      <c r="AZ34" s="204" t="s">
        <v>158</v>
      </c>
      <c r="BA34" s="19" t="s">
        <v>126</v>
      </c>
      <c r="BB34" s="213">
        <v>1</v>
      </c>
      <c r="BC34" s="212">
        <v>5</v>
      </c>
      <c r="BD34" s="213">
        <v>5</v>
      </c>
      <c r="BE34" s="212">
        <v>6</v>
      </c>
      <c r="BF34" s="213">
        <v>1</v>
      </c>
      <c r="BG34" s="214" t="s">
        <v>87</v>
      </c>
      <c r="BH34" s="225" t="s">
        <v>210</v>
      </c>
      <c r="BI34" s="131" t="s">
        <v>213</v>
      </c>
      <c r="BJ34" s="132" t="s">
        <v>182</v>
      </c>
      <c r="BK34" s="212">
        <v>6</v>
      </c>
      <c r="BL34" s="22"/>
      <c r="BM34" s="22"/>
      <c r="BN34" s="22"/>
      <c r="BO34" s="11"/>
      <c r="BP34" s="12"/>
      <c r="BQ34" s="12"/>
      <c r="BR34" s="10"/>
      <c r="BS34" s="11"/>
      <c r="BT34" s="10"/>
      <c r="BU34" s="38"/>
      <c r="BV34" s="10"/>
      <c r="BW34" s="10"/>
      <c r="BX34" s="10"/>
      <c r="BY34" s="11"/>
      <c r="BZ34" s="14"/>
      <c r="CA34" s="13"/>
      <c r="CB34" s="13"/>
      <c r="CC34" s="13"/>
      <c r="CD34" s="13"/>
      <c r="CE34" s="13"/>
      <c r="CF34" s="14"/>
      <c r="CG34" s="13"/>
      <c r="CH34" s="13"/>
      <c r="CI34" s="13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FU34" s="22"/>
    </row>
    <row r="35" spans="1:177" ht="18" customHeight="1" hidden="1">
      <c r="A35" s="31"/>
      <c r="B35" s="94"/>
      <c r="C35" s="94"/>
      <c r="D35" s="94"/>
      <c r="E35" s="144" t="s">
        <v>128</v>
      </c>
      <c r="F35" s="144"/>
      <c r="G35" s="142" t="str">
        <f>IF(G33&gt;G29,"Yes","No")</f>
        <v>No</v>
      </c>
      <c r="H35" s="142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6"/>
      <c r="V35" s="96"/>
      <c r="W35" s="96"/>
      <c r="X35" s="94"/>
      <c r="Y35" s="94"/>
      <c r="Z35" s="97"/>
      <c r="AA35" s="112">
        <f t="shared" si="36"/>
        <v>9</v>
      </c>
      <c r="AB35" s="113" t="str">
        <f t="shared" si="37"/>
        <v>Rebel Yndij </v>
      </c>
      <c r="AC35" s="113"/>
      <c r="AD35" s="114">
        <f t="shared" si="39"/>
        <v>0</v>
      </c>
      <c r="AE35" s="115">
        <f t="shared" si="35"/>
        <v>0</v>
      </c>
      <c r="AF35" s="116">
        <f t="shared" si="38"/>
        <v>0</v>
      </c>
      <c r="AG35" s="94"/>
      <c r="AJ35" s="55">
        <v>3</v>
      </c>
      <c r="AK35" s="54">
        <v>2</v>
      </c>
      <c r="AO35" s="52">
        <f>AO34+1</f>
        <v>3</v>
      </c>
      <c r="AP35" s="52"/>
      <c r="AQ35" s="53" t="s">
        <v>58</v>
      </c>
      <c r="AS35" s="150" t="s">
        <v>133</v>
      </c>
      <c r="AY35" s="7">
        <f t="shared" si="31"/>
        <v>33</v>
      </c>
      <c r="AZ35" s="204" t="s">
        <v>159</v>
      </c>
      <c r="BA35" s="19" t="s">
        <v>126</v>
      </c>
      <c r="BB35" s="213">
        <v>1</v>
      </c>
      <c r="BC35" s="212">
        <v>5</v>
      </c>
      <c r="BD35" s="213">
        <v>6</v>
      </c>
      <c r="BE35" s="212">
        <v>6</v>
      </c>
      <c r="BF35" s="213">
        <v>1</v>
      </c>
      <c r="BG35" s="214" t="s">
        <v>88</v>
      </c>
      <c r="BH35" s="225" t="s">
        <v>102</v>
      </c>
      <c r="BI35" s="131"/>
      <c r="BJ35" s="132" t="s">
        <v>214</v>
      </c>
      <c r="BK35" s="212">
        <v>6</v>
      </c>
      <c r="BL35" s="22"/>
      <c r="BM35" s="22"/>
      <c r="BN35" s="43"/>
      <c r="BO35" s="11"/>
      <c r="BP35" s="12"/>
      <c r="BQ35" s="12"/>
      <c r="BR35" s="10"/>
      <c r="BS35" s="11"/>
      <c r="BT35" s="10"/>
      <c r="BU35" s="38"/>
      <c r="BV35" s="10"/>
      <c r="BW35" s="10"/>
      <c r="BX35" s="10"/>
      <c r="BY35" s="11"/>
      <c r="BZ35" s="14"/>
      <c r="CA35" s="13"/>
      <c r="CB35" s="13"/>
      <c r="CC35" s="13"/>
      <c r="CD35" s="13"/>
      <c r="CE35" s="13"/>
      <c r="CF35" s="14"/>
      <c r="CG35" s="13"/>
      <c r="CH35" s="13"/>
      <c r="CI35" s="13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FU35" s="43"/>
    </row>
    <row r="36" spans="2:177" ht="18" customHeight="1" hidden="1">
      <c r="B36" s="94"/>
      <c r="C36" s="94"/>
      <c r="D36" s="94"/>
      <c r="E36" s="95"/>
      <c r="F36" s="95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6"/>
      <c r="V36" s="96"/>
      <c r="W36" s="96"/>
      <c r="X36" s="94"/>
      <c r="Y36" s="94"/>
      <c r="Z36" s="97"/>
      <c r="AA36" s="112">
        <f t="shared" si="36"/>
        <v>1</v>
      </c>
      <c r="AB36" s="113">
        <f t="shared" si="37"/>
        <v>0</v>
      </c>
      <c r="AC36" s="113"/>
      <c r="AD36" s="114">
        <f t="shared" si="39"/>
        <v>0</v>
      </c>
      <c r="AE36" s="115">
        <f t="shared" si="35"/>
        <v>0</v>
      </c>
      <c r="AF36" s="116">
        <f t="shared" si="38"/>
        <v>0</v>
      </c>
      <c r="AG36" s="94"/>
      <c r="AJ36" s="18">
        <v>4</v>
      </c>
      <c r="AK36" s="18">
        <v>3</v>
      </c>
      <c r="AO36" s="52">
        <f aca="true" t="shared" si="40" ref="AO36:AO57">AO35+1</f>
        <v>4</v>
      </c>
      <c r="AP36" s="52"/>
      <c r="AQ36" s="53" t="s">
        <v>59</v>
      </c>
      <c r="AS36" s="150" t="s">
        <v>134</v>
      </c>
      <c r="AY36" s="7">
        <f t="shared" si="31"/>
        <v>34</v>
      </c>
      <c r="AZ36" s="204" t="s">
        <v>160</v>
      </c>
      <c r="BA36" s="19" t="s">
        <v>61</v>
      </c>
      <c r="BB36" s="213">
        <v>1</v>
      </c>
      <c r="BC36" s="212">
        <v>5</v>
      </c>
      <c r="BD36" s="213">
        <v>5</v>
      </c>
      <c r="BE36" s="212">
        <v>5</v>
      </c>
      <c r="BF36" s="213">
        <v>1</v>
      </c>
      <c r="BG36" s="214" t="s">
        <v>88</v>
      </c>
      <c r="BH36" s="225" t="s">
        <v>97</v>
      </c>
      <c r="BI36" s="131" t="s">
        <v>215</v>
      </c>
      <c r="BJ36" s="132" t="s">
        <v>182</v>
      </c>
      <c r="BK36" s="212">
        <v>11</v>
      </c>
      <c r="BL36" s="22"/>
      <c r="BM36" s="43"/>
      <c r="BN36" s="10"/>
      <c r="BO36" s="11"/>
      <c r="BP36" s="12"/>
      <c r="BQ36" s="12"/>
      <c r="BR36" s="10"/>
      <c r="BS36" s="11"/>
      <c r="BT36" s="10"/>
      <c r="BU36" s="38"/>
      <c r="BV36" s="10"/>
      <c r="BW36" s="10"/>
      <c r="BX36" s="10"/>
      <c r="BY36" s="11"/>
      <c r="FU36" s="10"/>
    </row>
    <row r="37" spans="2:177" ht="18" customHeight="1" hidden="1">
      <c r="B37" s="94"/>
      <c r="C37" s="94"/>
      <c r="D37" s="94"/>
      <c r="E37" s="95"/>
      <c r="F37" s="95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6"/>
      <c r="V37" s="96"/>
      <c r="W37" s="96"/>
      <c r="X37" s="94"/>
      <c r="Y37" s="94"/>
      <c r="Z37" s="97"/>
      <c r="AA37" s="112">
        <f t="shared" si="36"/>
        <v>1</v>
      </c>
      <c r="AB37" s="113">
        <f t="shared" si="37"/>
        <v>0</v>
      </c>
      <c r="AC37" s="113"/>
      <c r="AD37" s="114">
        <f t="shared" si="39"/>
        <v>0</v>
      </c>
      <c r="AE37" s="115">
        <f t="shared" si="35"/>
        <v>0</v>
      </c>
      <c r="AF37" s="116">
        <f t="shared" si="38"/>
        <v>0</v>
      </c>
      <c r="AG37" s="94"/>
      <c r="AJ37" s="18">
        <v>5</v>
      </c>
      <c r="AK37" s="18">
        <v>5</v>
      </c>
      <c r="AO37" s="52">
        <f t="shared" si="40"/>
        <v>5</v>
      </c>
      <c r="AP37" s="52"/>
      <c r="AQ37" s="53" t="s">
        <v>49</v>
      </c>
      <c r="AS37" s="150" t="s">
        <v>135</v>
      </c>
      <c r="AY37" s="7">
        <f t="shared" si="31"/>
        <v>35</v>
      </c>
      <c r="AZ37" s="204" t="s">
        <v>161</v>
      </c>
      <c r="BA37" s="19" t="s">
        <v>119</v>
      </c>
      <c r="BB37" s="213">
        <v>1</v>
      </c>
      <c r="BC37" s="212" t="s">
        <v>180</v>
      </c>
      <c r="BD37" s="213" t="s">
        <v>180</v>
      </c>
      <c r="BE37" s="212">
        <v>6</v>
      </c>
      <c r="BF37" s="213">
        <v>1</v>
      </c>
      <c r="BG37" s="214" t="s">
        <v>180</v>
      </c>
      <c r="BH37" s="225" t="s">
        <v>189</v>
      </c>
      <c r="BI37" s="131" t="s">
        <v>216</v>
      </c>
      <c r="BJ37" s="132" t="s">
        <v>217</v>
      </c>
      <c r="BK37" s="212">
        <v>8</v>
      </c>
      <c r="BL37" s="22"/>
      <c r="BM37" s="10"/>
      <c r="BN37" s="10"/>
      <c r="BO37" s="11"/>
      <c r="BP37" s="12"/>
      <c r="BQ37" s="12"/>
      <c r="BR37" s="10"/>
      <c r="BS37" s="11"/>
      <c r="BT37" s="10"/>
      <c r="BU37" s="38"/>
      <c r="BV37" s="10"/>
      <c r="BW37" s="10"/>
      <c r="BX37" s="10"/>
      <c r="BY37" s="11"/>
      <c r="FU37" s="10"/>
    </row>
    <row r="38" spans="2:177" ht="18" customHeight="1" hidden="1">
      <c r="B38" s="94"/>
      <c r="C38" s="94"/>
      <c r="D38" s="94"/>
      <c r="E38" s="95"/>
      <c r="F38" s="95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6"/>
      <c r="V38" s="96"/>
      <c r="W38" s="96"/>
      <c r="X38" s="94"/>
      <c r="Y38" s="94"/>
      <c r="Z38" s="97"/>
      <c r="AA38" s="112">
        <f t="shared" si="36"/>
        <v>1</v>
      </c>
      <c r="AB38" s="113">
        <f t="shared" si="37"/>
        <v>0</v>
      </c>
      <c r="AC38" s="113"/>
      <c r="AD38" s="114">
        <f t="shared" si="39"/>
        <v>0</v>
      </c>
      <c r="AE38" s="115">
        <f t="shared" si="35"/>
        <v>0</v>
      </c>
      <c r="AF38" s="116">
        <f t="shared" si="38"/>
        <v>0</v>
      </c>
      <c r="AG38" s="94"/>
      <c r="AO38" s="52">
        <f t="shared" si="40"/>
        <v>6</v>
      </c>
      <c r="AP38" s="52"/>
      <c r="AQ38" s="53" t="s">
        <v>60</v>
      </c>
      <c r="AY38" s="7">
        <f t="shared" si="31"/>
        <v>36</v>
      </c>
      <c r="AZ38" s="204" t="s">
        <v>162</v>
      </c>
      <c r="BA38" s="19" t="s">
        <v>119</v>
      </c>
      <c r="BB38" s="213">
        <v>1</v>
      </c>
      <c r="BC38" s="212">
        <v>5</v>
      </c>
      <c r="BD38" s="213">
        <v>5</v>
      </c>
      <c r="BE38" s="212">
        <v>5</v>
      </c>
      <c r="BF38" s="213">
        <v>1</v>
      </c>
      <c r="BG38" s="214" t="s">
        <v>87</v>
      </c>
      <c r="BH38" s="225" t="s">
        <v>102</v>
      </c>
      <c r="BI38" s="131" t="s">
        <v>206</v>
      </c>
      <c r="BJ38" s="132" t="s">
        <v>218</v>
      </c>
      <c r="BK38" s="212">
        <v>10</v>
      </c>
      <c r="BL38" s="22"/>
      <c r="BM38" s="10"/>
      <c r="BN38" s="10"/>
      <c r="BO38" s="11"/>
      <c r="BP38" s="12"/>
      <c r="BQ38" s="12"/>
      <c r="BR38" s="10"/>
      <c r="BS38" s="11"/>
      <c r="BT38" s="10"/>
      <c r="BU38" s="38"/>
      <c r="BV38" s="10"/>
      <c r="BW38" s="10"/>
      <c r="BX38" s="10"/>
      <c r="BY38" s="11"/>
      <c r="FU38" s="10"/>
    </row>
    <row r="39" spans="2:177" ht="18" customHeight="1" hidden="1">
      <c r="B39" s="94"/>
      <c r="C39" s="94"/>
      <c r="D39" s="94"/>
      <c r="E39" s="95"/>
      <c r="F39" s="95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6"/>
      <c r="V39" s="96"/>
      <c r="W39" s="96"/>
      <c r="X39" s="94"/>
      <c r="Y39" s="94"/>
      <c r="Z39" s="97"/>
      <c r="AA39" s="112">
        <f t="shared" si="36"/>
        <v>1</v>
      </c>
      <c r="AB39" s="113">
        <f t="shared" si="37"/>
        <v>0</v>
      </c>
      <c r="AC39" s="113"/>
      <c r="AD39" s="114">
        <f t="shared" si="39"/>
        <v>0</v>
      </c>
      <c r="AE39" s="115">
        <f t="shared" si="35"/>
        <v>0</v>
      </c>
      <c r="AF39" s="116">
        <f t="shared" si="38"/>
        <v>0</v>
      </c>
      <c r="AG39" s="94"/>
      <c r="AO39" s="52">
        <f t="shared" si="40"/>
        <v>7</v>
      </c>
      <c r="AP39" s="52"/>
      <c r="AQ39" s="53" t="s">
        <v>46</v>
      </c>
      <c r="AY39" s="7">
        <f t="shared" si="31"/>
        <v>37</v>
      </c>
      <c r="AZ39" s="204" t="s">
        <v>163</v>
      </c>
      <c r="BA39" s="19" t="s">
        <v>119</v>
      </c>
      <c r="BB39" s="213">
        <v>1</v>
      </c>
      <c r="BC39" s="212">
        <v>5</v>
      </c>
      <c r="BD39" s="213">
        <v>5</v>
      </c>
      <c r="BE39" s="212">
        <v>5</v>
      </c>
      <c r="BF39" s="213">
        <v>1</v>
      </c>
      <c r="BG39" s="214" t="s">
        <v>87</v>
      </c>
      <c r="BH39" s="225" t="s">
        <v>81</v>
      </c>
      <c r="BI39" s="131" t="s">
        <v>206</v>
      </c>
      <c r="BJ39" s="132" t="s">
        <v>219</v>
      </c>
      <c r="BK39" s="212">
        <v>12</v>
      </c>
      <c r="BL39" s="22"/>
      <c r="BM39" s="10"/>
      <c r="BN39" s="10"/>
      <c r="BO39" s="11"/>
      <c r="BP39" s="12"/>
      <c r="BQ39" s="12"/>
      <c r="BR39" s="10"/>
      <c r="BS39" s="11"/>
      <c r="BT39" s="10"/>
      <c r="BU39" s="38"/>
      <c r="BV39" s="10"/>
      <c r="BW39" s="10"/>
      <c r="BX39" s="10"/>
      <c r="BY39" s="11"/>
      <c r="FU39" s="10"/>
    </row>
    <row r="40" spans="2:177" ht="18" customHeight="1" hidden="1">
      <c r="B40" s="94"/>
      <c r="C40" s="94"/>
      <c r="D40" s="94"/>
      <c r="E40" s="95"/>
      <c r="F40" s="95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6"/>
      <c r="V40" s="96"/>
      <c r="W40" s="96"/>
      <c r="X40" s="94"/>
      <c r="Y40" s="94"/>
      <c r="Z40" s="97"/>
      <c r="AA40" s="112">
        <f t="shared" si="36"/>
        <v>1</v>
      </c>
      <c r="AB40" s="113">
        <f t="shared" si="37"/>
        <v>0</v>
      </c>
      <c r="AC40" s="113"/>
      <c r="AD40" s="114">
        <f t="shared" si="39"/>
        <v>0</v>
      </c>
      <c r="AE40" s="115">
        <f t="shared" si="35"/>
        <v>0</v>
      </c>
      <c r="AF40" s="116">
        <f t="shared" si="38"/>
        <v>0</v>
      </c>
      <c r="AG40" s="94"/>
      <c r="AO40" s="52">
        <f t="shared" si="40"/>
        <v>8</v>
      </c>
      <c r="AP40" s="52"/>
      <c r="AQ40" s="53" t="s">
        <v>38</v>
      </c>
      <c r="AY40" s="7">
        <f t="shared" si="31"/>
        <v>38</v>
      </c>
      <c r="AZ40" s="204" t="s">
        <v>164</v>
      </c>
      <c r="BA40" s="19" t="s">
        <v>120</v>
      </c>
      <c r="BB40" s="213">
        <v>2</v>
      </c>
      <c r="BC40" s="212">
        <v>5</v>
      </c>
      <c r="BD40" s="213">
        <v>6</v>
      </c>
      <c r="BE40" s="212">
        <v>6</v>
      </c>
      <c r="BF40" s="213">
        <v>1</v>
      </c>
      <c r="BG40" s="214" t="s">
        <v>87</v>
      </c>
      <c r="BH40" s="225" t="s">
        <v>81</v>
      </c>
      <c r="BI40" s="131" t="s">
        <v>220</v>
      </c>
      <c r="BJ40" s="132" t="s">
        <v>221</v>
      </c>
      <c r="BK40" s="212">
        <v>12</v>
      </c>
      <c r="BL40" s="22"/>
      <c r="BM40" s="10"/>
      <c r="BN40" s="10"/>
      <c r="BO40" s="11"/>
      <c r="BP40" s="12"/>
      <c r="BQ40" s="12"/>
      <c r="BR40" s="10"/>
      <c r="BS40" s="11"/>
      <c r="BT40" s="10"/>
      <c r="BU40" s="38"/>
      <c r="BV40" s="10"/>
      <c r="BW40" s="10"/>
      <c r="BX40" s="10"/>
      <c r="BY40" s="11"/>
      <c r="FU40" s="10"/>
    </row>
    <row r="41" spans="2:177" ht="18" customHeight="1" hidden="1" thickBot="1">
      <c r="B41" s="94"/>
      <c r="C41" s="94"/>
      <c r="D41" s="94"/>
      <c r="E41" s="95"/>
      <c r="F41" s="95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6"/>
      <c r="V41" s="96"/>
      <c r="W41" s="96"/>
      <c r="X41" s="94"/>
      <c r="Y41" s="94"/>
      <c r="Z41" s="97"/>
      <c r="AA41" s="112">
        <f t="shared" si="36"/>
        <v>1</v>
      </c>
      <c r="AB41" s="113">
        <f t="shared" si="37"/>
        <v>0</v>
      </c>
      <c r="AC41" s="113"/>
      <c r="AD41" s="114">
        <f t="shared" si="39"/>
        <v>0</v>
      </c>
      <c r="AE41" s="120">
        <f>COUNTIF(AJ17:AO17,14)</f>
        <v>0</v>
      </c>
      <c r="AF41" s="116">
        <f t="shared" si="38"/>
        <v>0</v>
      </c>
      <c r="AG41" s="94"/>
      <c r="AO41" s="52">
        <f t="shared" si="40"/>
        <v>9</v>
      </c>
      <c r="AP41" s="52"/>
      <c r="AQ41" s="53" t="s">
        <v>30</v>
      </c>
      <c r="AY41" s="7">
        <f t="shared" si="31"/>
        <v>39</v>
      </c>
      <c r="AZ41" s="204" t="s">
        <v>165</v>
      </c>
      <c r="BA41" s="19" t="s">
        <v>61</v>
      </c>
      <c r="BB41" s="213">
        <v>1</v>
      </c>
      <c r="BC41" s="212">
        <v>5</v>
      </c>
      <c r="BD41" s="213">
        <v>5</v>
      </c>
      <c r="BE41" s="212">
        <v>5</v>
      </c>
      <c r="BF41" s="213">
        <v>1</v>
      </c>
      <c r="BG41" s="214" t="s">
        <v>89</v>
      </c>
      <c r="BH41" s="225" t="s">
        <v>222</v>
      </c>
      <c r="BI41" s="131" t="s">
        <v>223</v>
      </c>
      <c r="BJ41" s="132" t="s">
        <v>224</v>
      </c>
      <c r="BK41" s="212">
        <v>16</v>
      </c>
      <c r="BL41" s="22"/>
      <c r="BM41" s="10"/>
      <c r="BN41" s="22"/>
      <c r="BO41" s="11"/>
      <c r="BP41" s="12"/>
      <c r="BQ41" s="12"/>
      <c r="BR41" s="10"/>
      <c r="BS41" s="11"/>
      <c r="BT41" s="10"/>
      <c r="BU41" s="38"/>
      <c r="BV41" s="10"/>
      <c r="BW41" s="10"/>
      <c r="BX41" s="10"/>
      <c r="BY41" s="11"/>
      <c r="FU41" s="10"/>
    </row>
    <row r="42" spans="2:177" ht="18" customHeight="1" hidden="1" thickBot="1">
      <c r="B42" s="94"/>
      <c r="C42" s="94"/>
      <c r="D42" s="94"/>
      <c r="E42" s="95"/>
      <c r="F42" s="95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6"/>
      <c r="V42" s="96"/>
      <c r="W42" s="96"/>
      <c r="X42" s="94"/>
      <c r="Y42" s="94"/>
      <c r="Z42" s="97"/>
      <c r="AA42" s="117">
        <f>AP17</f>
        <v>1</v>
      </c>
      <c r="AB42" s="118">
        <f t="shared" si="37"/>
        <v>0</v>
      </c>
      <c r="AC42" s="118"/>
      <c r="AD42" s="119">
        <f t="shared" si="39"/>
        <v>0</v>
      </c>
      <c r="AE42" s="123"/>
      <c r="AF42" s="121">
        <f t="shared" si="38"/>
        <v>0</v>
      </c>
      <c r="AG42" s="94"/>
      <c r="AO42" s="52">
        <f t="shared" si="40"/>
        <v>10</v>
      </c>
      <c r="AP42" s="52"/>
      <c r="AQ42" s="53" t="s">
        <v>39</v>
      </c>
      <c r="AY42" s="7">
        <f aca="true" t="shared" si="41" ref="AY42:AY94">IF(AZ42="","",AY41+1)</f>
        <v>40</v>
      </c>
      <c r="AZ42" s="206" t="s">
        <v>153</v>
      </c>
      <c r="BA42" s="19" t="s">
        <v>119</v>
      </c>
      <c r="BB42" s="216">
        <v>3</v>
      </c>
      <c r="BC42" s="215">
        <v>6</v>
      </c>
      <c r="BD42" s="216">
        <v>4</v>
      </c>
      <c r="BE42" s="215">
        <v>5</v>
      </c>
      <c r="BF42" s="216">
        <v>2</v>
      </c>
      <c r="BG42" s="217" t="s">
        <v>87</v>
      </c>
      <c r="BH42" s="226" t="s">
        <v>189</v>
      </c>
      <c r="BI42" s="133" t="s">
        <v>225</v>
      </c>
      <c r="BJ42" s="134" t="s">
        <v>226</v>
      </c>
      <c r="BK42" s="215">
        <v>21</v>
      </c>
      <c r="BL42" s="22"/>
      <c r="BM42" s="22"/>
      <c r="BN42" s="43"/>
      <c r="BO42" s="11"/>
      <c r="BP42" s="12"/>
      <c r="BQ42" s="12"/>
      <c r="BR42" s="10"/>
      <c r="BS42" s="11"/>
      <c r="BT42" s="10"/>
      <c r="BU42" s="38"/>
      <c r="BV42" s="10"/>
      <c r="BW42" s="10"/>
      <c r="BX42" s="10"/>
      <c r="BY42" s="11"/>
      <c r="FU42" s="43"/>
    </row>
    <row r="43" spans="2:177" ht="18" customHeight="1" hidden="1">
      <c r="B43" s="94"/>
      <c r="C43" s="94"/>
      <c r="D43" s="94"/>
      <c r="E43" s="95"/>
      <c r="F43" s="95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6"/>
      <c r="V43" s="96"/>
      <c r="W43" s="96"/>
      <c r="X43" s="94"/>
      <c r="Y43" s="94"/>
      <c r="Z43" s="97"/>
      <c r="AA43" s="122" t="s">
        <v>66</v>
      </c>
      <c r="AB43" s="123"/>
      <c r="AC43" s="123"/>
      <c r="AD43" s="123"/>
      <c r="AE43" s="97"/>
      <c r="AG43" s="94"/>
      <c r="AO43" s="52">
        <f t="shared" si="40"/>
        <v>11</v>
      </c>
      <c r="AP43" s="52"/>
      <c r="AQ43" s="53" t="s">
        <v>50</v>
      </c>
      <c r="AY43" s="7">
        <f t="shared" si="41"/>
        <v>41</v>
      </c>
      <c r="AZ43" s="203" t="s">
        <v>144</v>
      </c>
      <c r="BA43" s="19" t="s">
        <v>126</v>
      </c>
      <c r="BB43" s="210">
        <v>1</v>
      </c>
      <c r="BC43" s="211" t="s">
        <v>180</v>
      </c>
      <c r="BD43" s="227" t="s">
        <v>228</v>
      </c>
      <c r="BE43" s="211" t="s">
        <v>229</v>
      </c>
      <c r="BF43" s="227" t="s">
        <v>180</v>
      </c>
      <c r="BG43" s="211" t="s">
        <v>180</v>
      </c>
      <c r="BH43" s="223" t="s">
        <v>183</v>
      </c>
      <c r="BI43" s="219" t="s">
        <v>230</v>
      </c>
      <c r="BJ43" s="128" t="s">
        <v>231</v>
      </c>
      <c r="BK43" s="209">
        <v>3</v>
      </c>
      <c r="BL43" s="22"/>
      <c r="BM43" s="43"/>
      <c r="BN43" s="10"/>
      <c r="BO43" s="11"/>
      <c r="BP43" s="12"/>
      <c r="BQ43" s="12"/>
      <c r="BR43" s="10"/>
      <c r="BS43" s="11"/>
      <c r="BT43" s="10"/>
      <c r="BU43" s="38"/>
      <c r="BV43" s="10"/>
      <c r="BW43" s="10"/>
      <c r="BX43" s="10"/>
      <c r="BY43" s="11"/>
      <c r="FU43" s="10"/>
    </row>
    <row r="44" spans="2:177" ht="18" customHeight="1" hidden="1">
      <c r="B44" s="94"/>
      <c r="C44" s="94"/>
      <c r="D44" s="94"/>
      <c r="E44" s="95"/>
      <c r="F44" s="95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6"/>
      <c r="V44" s="96"/>
      <c r="W44" s="96"/>
      <c r="X44" s="94"/>
      <c r="Y44" s="94"/>
      <c r="Z44" s="97"/>
      <c r="AA44" s="97"/>
      <c r="AB44" s="97"/>
      <c r="AC44" s="97"/>
      <c r="AD44" s="97"/>
      <c r="AE44" s="97"/>
      <c r="AF44" s="123"/>
      <c r="AG44" s="94"/>
      <c r="AO44" s="52">
        <f t="shared" si="40"/>
        <v>12</v>
      </c>
      <c r="AP44" s="52"/>
      <c r="AQ44" s="53" t="s">
        <v>42</v>
      </c>
      <c r="AY44" s="7">
        <f t="shared" si="41"/>
        <v>42</v>
      </c>
      <c r="AZ44" s="203" t="s">
        <v>145</v>
      </c>
      <c r="BA44" s="19" t="s">
        <v>126</v>
      </c>
      <c r="BB44" s="213">
        <v>1</v>
      </c>
      <c r="BC44" s="214" t="s">
        <v>229</v>
      </c>
      <c r="BD44" s="228" t="s">
        <v>228</v>
      </c>
      <c r="BE44" s="214" t="s">
        <v>228</v>
      </c>
      <c r="BF44" s="228" t="s">
        <v>232</v>
      </c>
      <c r="BG44" s="214" t="s">
        <v>87</v>
      </c>
      <c r="BH44" s="224" t="s">
        <v>233</v>
      </c>
      <c r="BI44" s="219" t="s">
        <v>230</v>
      </c>
      <c r="BJ44" s="130" t="s">
        <v>182</v>
      </c>
      <c r="BK44" s="212">
        <v>6</v>
      </c>
      <c r="BL44" s="22"/>
      <c r="BM44" s="10"/>
      <c r="BN44" s="22"/>
      <c r="BO44" s="11"/>
      <c r="BP44" s="12"/>
      <c r="BQ44" s="12"/>
      <c r="BR44" s="10"/>
      <c r="BS44" s="11"/>
      <c r="BT44" s="10"/>
      <c r="BU44" s="38"/>
      <c r="BV44" s="10"/>
      <c r="BW44" s="10"/>
      <c r="BX44" s="10"/>
      <c r="BY44" s="11"/>
      <c r="FU44" s="10"/>
    </row>
    <row r="45" spans="2:177" ht="18" customHeight="1" hidden="1">
      <c r="B45" s="94"/>
      <c r="C45" s="94"/>
      <c r="D45" s="94"/>
      <c r="E45" s="95"/>
      <c r="F45" s="95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6"/>
      <c r="V45" s="96"/>
      <c r="W45" s="96"/>
      <c r="X45" s="94"/>
      <c r="Y45" s="94"/>
      <c r="Z45" s="97"/>
      <c r="AA45" s="97"/>
      <c r="AB45" s="97"/>
      <c r="AC45" s="97"/>
      <c r="AD45" s="97"/>
      <c r="AE45" s="97"/>
      <c r="AF45" s="94"/>
      <c r="AG45" s="94"/>
      <c r="AO45" s="52">
        <f t="shared" si="40"/>
        <v>13</v>
      </c>
      <c r="AP45" s="52"/>
      <c r="AQ45" s="53" t="s">
        <v>37</v>
      </c>
      <c r="AY45" s="7">
        <f t="shared" si="41"/>
        <v>43</v>
      </c>
      <c r="AZ45" s="203" t="s">
        <v>146</v>
      </c>
      <c r="BA45" s="19" t="s">
        <v>119</v>
      </c>
      <c r="BB45" s="213">
        <v>1</v>
      </c>
      <c r="BC45" s="214" t="s">
        <v>228</v>
      </c>
      <c r="BD45" s="228" t="s">
        <v>229</v>
      </c>
      <c r="BE45" s="214" t="s">
        <v>228</v>
      </c>
      <c r="BF45" s="228" t="s">
        <v>232</v>
      </c>
      <c r="BG45" s="214" t="s">
        <v>87</v>
      </c>
      <c r="BH45" s="224" t="s">
        <v>102</v>
      </c>
      <c r="BI45" s="219" t="s">
        <v>234</v>
      </c>
      <c r="BJ45" s="132" t="s">
        <v>235</v>
      </c>
      <c r="BK45" s="212">
        <v>6</v>
      </c>
      <c r="BL45" s="22"/>
      <c r="BM45" s="22"/>
      <c r="BN45" s="43"/>
      <c r="BO45" s="11"/>
      <c r="BP45" s="12"/>
      <c r="BQ45" s="12"/>
      <c r="BR45" s="10"/>
      <c r="BS45" s="11"/>
      <c r="BT45" s="10"/>
      <c r="BU45" s="38"/>
      <c r="BV45" s="10"/>
      <c r="BW45" s="10"/>
      <c r="BX45" s="10"/>
      <c r="BY45" s="11"/>
      <c r="FU45" s="43"/>
    </row>
    <row r="46" spans="2:177" ht="18" customHeight="1" hidden="1">
      <c r="B46" s="94"/>
      <c r="C46" s="94"/>
      <c r="D46" s="94"/>
      <c r="E46" s="95"/>
      <c r="F46" s="95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6"/>
      <c r="V46" s="96"/>
      <c r="W46" s="96"/>
      <c r="X46" s="94"/>
      <c r="Y46" s="94"/>
      <c r="Z46" s="97"/>
      <c r="AA46" s="97"/>
      <c r="AB46" s="97"/>
      <c r="AC46" s="97"/>
      <c r="AD46" s="97"/>
      <c r="AE46" s="97"/>
      <c r="AF46" s="98"/>
      <c r="AG46" s="98"/>
      <c r="AH46" s="59"/>
      <c r="AO46" s="52">
        <f t="shared" si="40"/>
        <v>14</v>
      </c>
      <c r="AP46" s="52"/>
      <c r="AQ46" s="53" t="s">
        <v>40</v>
      </c>
      <c r="AY46" s="7">
        <f t="shared" si="41"/>
        <v>44</v>
      </c>
      <c r="AZ46" s="203" t="s">
        <v>147</v>
      </c>
      <c r="BA46" s="19" t="s">
        <v>119</v>
      </c>
      <c r="BB46" s="213">
        <v>1</v>
      </c>
      <c r="BC46" s="214" t="s">
        <v>229</v>
      </c>
      <c r="BD46" s="228" t="s">
        <v>228</v>
      </c>
      <c r="BE46" s="214" t="s">
        <v>228</v>
      </c>
      <c r="BF46" s="228" t="s">
        <v>232</v>
      </c>
      <c r="BG46" s="214" t="s">
        <v>87</v>
      </c>
      <c r="BH46" s="225" t="s">
        <v>81</v>
      </c>
      <c r="BI46" s="220" t="s">
        <v>234</v>
      </c>
      <c r="BJ46" s="132" t="s">
        <v>236</v>
      </c>
      <c r="BK46" s="212">
        <v>8</v>
      </c>
      <c r="BL46" s="22"/>
      <c r="BM46" s="43"/>
      <c r="BN46" s="10"/>
      <c r="BO46" s="11"/>
      <c r="BP46" s="12"/>
      <c r="BQ46" s="12"/>
      <c r="BR46" s="10"/>
      <c r="BS46" s="11"/>
      <c r="BT46" s="10"/>
      <c r="BU46" s="38"/>
      <c r="BV46" s="10"/>
      <c r="BW46" s="10"/>
      <c r="BX46" s="10"/>
      <c r="BY46" s="11"/>
      <c r="FU46" s="10"/>
    </row>
    <row r="47" spans="2:177" ht="18" customHeight="1" hidden="1">
      <c r="B47" s="94"/>
      <c r="C47" s="94"/>
      <c r="D47" s="94"/>
      <c r="E47" s="95"/>
      <c r="F47" s="95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6"/>
      <c r="V47" s="96"/>
      <c r="W47" s="96"/>
      <c r="X47" s="94"/>
      <c r="Y47" s="94"/>
      <c r="Z47" s="97"/>
      <c r="AA47" s="97"/>
      <c r="AB47" s="97"/>
      <c r="AC47" s="97"/>
      <c r="AD47" s="97"/>
      <c r="AE47" s="97"/>
      <c r="AF47" s="94"/>
      <c r="AG47" s="94"/>
      <c r="AO47" s="52">
        <f t="shared" si="40"/>
        <v>15</v>
      </c>
      <c r="AP47" s="52"/>
      <c r="AQ47" s="53" t="s">
        <v>41</v>
      </c>
      <c r="AY47" s="7">
        <f t="shared" si="41"/>
        <v>45</v>
      </c>
      <c r="AZ47" s="204" t="s">
        <v>148</v>
      </c>
      <c r="BA47" s="19" t="s">
        <v>119</v>
      </c>
      <c r="BB47" s="213">
        <v>2</v>
      </c>
      <c r="BC47" s="214" t="s">
        <v>180</v>
      </c>
      <c r="BD47" s="228" t="s">
        <v>237</v>
      </c>
      <c r="BE47" s="214" t="s">
        <v>237</v>
      </c>
      <c r="BF47" s="228" t="s">
        <v>232</v>
      </c>
      <c r="BG47" s="214" t="s">
        <v>180</v>
      </c>
      <c r="BH47" s="224" t="s">
        <v>189</v>
      </c>
      <c r="BI47" s="220" t="s">
        <v>238</v>
      </c>
      <c r="BJ47" s="132" t="s">
        <v>239</v>
      </c>
      <c r="BK47" s="212">
        <v>10</v>
      </c>
      <c r="BL47" s="22"/>
      <c r="BM47" s="10"/>
      <c r="BN47" s="10"/>
      <c r="BO47" s="11"/>
      <c r="BP47" s="12"/>
      <c r="BQ47" s="12"/>
      <c r="BR47" s="10"/>
      <c r="BS47" s="11"/>
      <c r="BT47" s="10"/>
      <c r="BU47" s="38"/>
      <c r="BV47" s="10"/>
      <c r="BW47" s="10"/>
      <c r="BX47" s="10"/>
      <c r="BY47" s="11"/>
      <c r="FU47" s="10"/>
    </row>
    <row r="48" spans="2:177" ht="18" customHeight="1" hidden="1">
      <c r="B48" s="94"/>
      <c r="C48" s="94"/>
      <c r="T48" s="94"/>
      <c r="U48" s="96"/>
      <c r="V48" s="96"/>
      <c r="W48" s="96"/>
      <c r="X48" s="94"/>
      <c r="Y48" s="94"/>
      <c r="Z48" s="97"/>
      <c r="AA48" s="97"/>
      <c r="AB48" s="97"/>
      <c r="AC48" s="97"/>
      <c r="AD48" s="97"/>
      <c r="AF48" s="94"/>
      <c r="AG48" s="94"/>
      <c r="AO48" s="52">
        <f t="shared" si="40"/>
        <v>16</v>
      </c>
      <c r="AP48" s="52"/>
      <c r="AQ48" s="53" t="s">
        <v>44</v>
      </c>
      <c r="AY48" s="7">
        <f t="shared" si="41"/>
        <v>46</v>
      </c>
      <c r="AZ48" s="204" t="s">
        <v>149</v>
      </c>
      <c r="BA48" s="19" t="s">
        <v>61</v>
      </c>
      <c r="BB48" s="213">
        <v>1</v>
      </c>
      <c r="BC48" s="214" t="s">
        <v>229</v>
      </c>
      <c r="BD48" s="228" t="s">
        <v>228</v>
      </c>
      <c r="BE48" s="214" t="s">
        <v>228</v>
      </c>
      <c r="BF48" s="228" t="s">
        <v>232</v>
      </c>
      <c r="BG48" s="214" t="s">
        <v>89</v>
      </c>
      <c r="BH48" s="225" t="s">
        <v>189</v>
      </c>
      <c r="BI48" s="220" t="s">
        <v>240</v>
      </c>
      <c r="BJ48" s="132" t="s">
        <v>182</v>
      </c>
      <c r="BK48" s="212">
        <v>10</v>
      </c>
      <c r="BL48" s="22"/>
      <c r="BM48" s="10"/>
      <c r="BN48" s="10"/>
      <c r="BP48" s="12"/>
      <c r="BQ48" s="12"/>
      <c r="BR48" s="22"/>
      <c r="BS48" s="26"/>
      <c r="BT48" s="22"/>
      <c r="BU48" s="39"/>
      <c r="BV48" s="22"/>
      <c r="BW48" s="22"/>
      <c r="BX48" s="22"/>
      <c r="BY48" s="26"/>
      <c r="FU48" s="10"/>
    </row>
    <row r="49" spans="2:177" ht="18" customHeight="1" hidden="1">
      <c r="B49" s="94"/>
      <c r="C49" s="94"/>
      <c r="AF49" s="94"/>
      <c r="AG49" s="94"/>
      <c r="AO49" s="52">
        <f t="shared" si="40"/>
        <v>17</v>
      </c>
      <c r="AP49" s="52"/>
      <c r="AQ49" s="53" t="s">
        <v>48</v>
      </c>
      <c r="AY49" s="7">
        <f t="shared" si="41"/>
        <v>47</v>
      </c>
      <c r="AZ49" s="204" t="s">
        <v>150</v>
      </c>
      <c r="BA49" s="19" t="s">
        <v>120</v>
      </c>
      <c r="BB49" s="213">
        <v>2</v>
      </c>
      <c r="BC49" s="214" t="s">
        <v>229</v>
      </c>
      <c r="BD49" s="228" t="s">
        <v>228</v>
      </c>
      <c r="BE49" s="214" t="s">
        <v>228</v>
      </c>
      <c r="BF49" s="228" t="s">
        <v>232</v>
      </c>
      <c r="BG49" s="214" t="s">
        <v>87</v>
      </c>
      <c r="BH49" s="225" t="s">
        <v>81</v>
      </c>
      <c r="BI49" s="220" t="s">
        <v>241</v>
      </c>
      <c r="BJ49" s="132" t="s">
        <v>242</v>
      </c>
      <c r="BK49" s="212">
        <v>10</v>
      </c>
      <c r="BL49" s="10"/>
      <c r="BM49" s="10"/>
      <c r="BN49" s="10"/>
      <c r="BR49" s="22"/>
      <c r="BS49" s="26"/>
      <c r="BT49" s="22"/>
      <c r="BU49" s="39"/>
      <c r="BV49" s="22"/>
      <c r="BW49" s="22"/>
      <c r="BX49" s="22"/>
      <c r="BY49" s="26"/>
      <c r="FU49" s="10"/>
    </row>
    <row r="50" spans="41:177" ht="18" customHeight="1" hidden="1">
      <c r="AO50" s="52">
        <f t="shared" si="40"/>
        <v>18</v>
      </c>
      <c r="AP50" s="52"/>
      <c r="AQ50" s="53" t="s">
        <v>34</v>
      </c>
      <c r="AY50" s="7">
        <f t="shared" si="41"/>
        <v>48</v>
      </c>
      <c r="AZ50" s="204" t="s">
        <v>151</v>
      </c>
      <c r="BA50" s="19" t="s">
        <v>119</v>
      </c>
      <c r="BB50" s="213">
        <v>2</v>
      </c>
      <c r="BC50" s="214" t="s">
        <v>180</v>
      </c>
      <c r="BD50" s="228" t="s">
        <v>243</v>
      </c>
      <c r="BE50" s="214" t="s">
        <v>228</v>
      </c>
      <c r="BF50" s="228" t="s">
        <v>180</v>
      </c>
      <c r="BG50" s="214" t="s">
        <v>180</v>
      </c>
      <c r="BH50" s="225" t="s">
        <v>183</v>
      </c>
      <c r="BI50" s="220" t="s">
        <v>244</v>
      </c>
      <c r="BJ50" s="132" t="s">
        <v>245</v>
      </c>
      <c r="BK50" s="212">
        <v>13</v>
      </c>
      <c r="BL50" s="10"/>
      <c r="BM50" s="10"/>
      <c r="BN50" s="43"/>
      <c r="BR50" s="22"/>
      <c r="BS50" s="26"/>
      <c r="BT50" s="22"/>
      <c r="BU50" s="39"/>
      <c r="BV50" s="22"/>
      <c r="BW50" s="22"/>
      <c r="BX50" s="22"/>
      <c r="BY50" s="26"/>
      <c r="FU50" s="43"/>
    </row>
    <row r="51" spans="41:177" ht="18" customHeight="1" hidden="1">
      <c r="AO51" s="52">
        <f t="shared" si="40"/>
        <v>19</v>
      </c>
      <c r="AP51" s="52"/>
      <c r="AQ51" s="53" t="s">
        <v>36</v>
      </c>
      <c r="AY51" s="7">
        <f t="shared" si="41"/>
        <v>49</v>
      </c>
      <c r="AZ51" s="204" t="s">
        <v>152</v>
      </c>
      <c r="BA51" s="19" t="s">
        <v>61</v>
      </c>
      <c r="BB51" s="213">
        <v>3</v>
      </c>
      <c r="BC51" s="214" t="s">
        <v>180</v>
      </c>
      <c r="BD51" s="228" t="s">
        <v>243</v>
      </c>
      <c r="BE51" s="214" t="s">
        <v>237</v>
      </c>
      <c r="BF51" s="228" t="s">
        <v>232</v>
      </c>
      <c r="BG51" s="214" t="s">
        <v>90</v>
      </c>
      <c r="BH51" s="225" t="s">
        <v>189</v>
      </c>
      <c r="BI51" s="220" t="s">
        <v>246</v>
      </c>
      <c r="BJ51" s="132" t="s">
        <v>239</v>
      </c>
      <c r="BK51" s="212">
        <v>22</v>
      </c>
      <c r="BL51" s="43"/>
      <c r="BM51" s="43"/>
      <c r="BN51" s="10"/>
      <c r="BR51" s="22"/>
      <c r="BS51" s="26"/>
      <c r="BT51" s="22"/>
      <c r="BU51" s="39"/>
      <c r="BV51" s="22"/>
      <c r="BW51" s="22"/>
      <c r="BX51" s="22"/>
      <c r="BY51" s="26"/>
      <c r="FU51" s="10"/>
    </row>
    <row r="52" spans="41:177" ht="18" customHeight="1" hidden="1">
      <c r="AO52" s="52">
        <f t="shared" si="40"/>
        <v>20</v>
      </c>
      <c r="AP52" s="52"/>
      <c r="AQ52" s="53" t="s">
        <v>31</v>
      </c>
      <c r="AY52" s="7">
        <f t="shared" si="41"/>
        <v>50</v>
      </c>
      <c r="AZ52" s="204" t="s">
        <v>227</v>
      </c>
      <c r="BA52" s="19" t="s">
        <v>120</v>
      </c>
      <c r="BB52" s="213">
        <v>3</v>
      </c>
      <c r="BC52" s="214" t="s">
        <v>180</v>
      </c>
      <c r="BD52" s="228" t="s">
        <v>237</v>
      </c>
      <c r="BE52" s="214" t="s">
        <v>228</v>
      </c>
      <c r="BF52" s="228" t="s">
        <v>247</v>
      </c>
      <c r="BG52" s="214" t="s">
        <v>180</v>
      </c>
      <c r="BH52" s="225" t="s">
        <v>189</v>
      </c>
      <c r="BI52" s="220" t="s">
        <v>248</v>
      </c>
      <c r="BJ52" s="132" t="s">
        <v>249</v>
      </c>
      <c r="BK52" s="212">
        <v>26</v>
      </c>
      <c r="BL52" s="10"/>
      <c r="BM52" s="10"/>
      <c r="BN52" s="10"/>
      <c r="BR52" s="22"/>
      <c r="BS52" s="26"/>
      <c r="BT52" s="22"/>
      <c r="BU52" s="39"/>
      <c r="BV52" s="22"/>
      <c r="BW52" s="22"/>
      <c r="BX52" s="22"/>
      <c r="BY52" s="26"/>
      <c r="FU52" s="10"/>
    </row>
    <row r="53" spans="41:177" ht="18" customHeight="1" hidden="1">
      <c r="AO53" s="52">
        <f t="shared" si="40"/>
        <v>21</v>
      </c>
      <c r="AP53" s="52"/>
      <c r="AQ53" s="53" t="s">
        <v>43</v>
      </c>
      <c r="AY53" s="7">
        <f t="shared" si="41"/>
      </c>
      <c r="AZ53" s="8"/>
      <c r="BA53" s="8"/>
      <c r="BB53" s="8"/>
      <c r="BC53" s="8"/>
      <c r="BD53" s="9"/>
      <c r="BE53" s="9"/>
      <c r="BF53" s="9"/>
      <c r="BG53" s="9"/>
      <c r="BH53" s="9"/>
      <c r="BI53" s="24"/>
      <c r="BJ53" s="24"/>
      <c r="BL53" s="10"/>
      <c r="BM53" s="10"/>
      <c r="BN53" s="10"/>
      <c r="BR53" s="22"/>
      <c r="BS53" s="26"/>
      <c r="BT53" s="22"/>
      <c r="BU53" s="39"/>
      <c r="BV53" s="22"/>
      <c r="BW53" s="22"/>
      <c r="BX53" s="22"/>
      <c r="BY53" s="26"/>
      <c r="FU53" s="10"/>
    </row>
    <row r="54" spans="41:177" ht="18" customHeight="1" hidden="1">
      <c r="AO54" s="52">
        <f t="shared" si="40"/>
        <v>22</v>
      </c>
      <c r="AP54" s="52"/>
      <c r="AQ54" s="53" t="s">
        <v>47</v>
      </c>
      <c r="AY54" s="7">
        <f t="shared" si="41"/>
      </c>
      <c r="AZ54" s="8"/>
      <c r="BA54" s="8"/>
      <c r="BB54" s="8"/>
      <c r="BC54" s="8"/>
      <c r="BD54" s="9"/>
      <c r="BE54" s="9"/>
      <c r="BF54" s="9"/>
      <c r="BG54" s="9"/>
      <c r="BH54" s="9"/>
      <c r="BI54" s="24"/>
      <c r="BJ54" s="24"/>
      <c r="BL54" s="10"/>
      <c r="BM54" s="10"/>
      <c r="BN54" s="10"/>
      <c r="BR54" s="22"/>
      <c r="BS54" s="26"/>
      <c r="BT54" s="22"/>
      <c r="BU54" s="39"/>
      <c r="BV54" s="22"/>
      <c r="BW54" s="22"/>
      <c r="BX54" s="22"/>
      <c r="BY54" s="26"/>
      <c r="FU54" s="10"/>
    </row>
    <row r="55" spans="41:177" ht="18" customHeight="1" hidden="1">
      <c r="AO55" s="52">
        <f t="shared" si="40"/>
        <v>23</v>
      </c>
      <c r="AP55" s="52"/>
      <c r="AQ55" s="53" t="s">
        <v>29</v>
      </c>
      <c r="AY55" s="7">
        <f t="shared" si="41"/>
      </c>
      <c r="AZ55" s="8"/>
      <c r="BA55" s="8"/>
      <c r="BB55" s="8"/>
      <c r="BC55" s="8"/>
      <c r="BI55" s="24"/>
      <c r="BJ55" s="24"/>
      <c r="BL55" s="10"/>
      <c r="BM55" s="10"/>
      <c r="BN55" s="22"/>
      <c r="BR55" s="22"/>
      <c r="BS55" s="26"/>
      <c r="BT55" s="22"/>
      <c r="BU55" s="39"/>
      <c r="BV55" s="22"/>
      <c r="BW55" s="22"/>
      <c r="BX55" s="22"/>
      <c r="BY55" s="26"/>
      <c r="FU55" s="10"/>
    </row>
    <row r="56" spans="41:177" ht="18" customHeight="1" hidden="1">
      <c r="AO56" s="52">
        <f t="shared" si="40"/>
        <v>24</v>
      </c>
      <c r="AP56" s="52"/>
      <c r="AQ56" s="53" t="s">
        <v>45</v>
      </c>
      <c r="AY56" s="7">
        <f t="shared" si="41"/>
      </c>
      <c r="BL56" s="43"/>
      <c r="BM56" s="22"/>
      <c r="BN56" s="43"/>
      <c r="BR56" s="22"/>
      <c r="BS56" s="26"/>
      <c r="BT56" s="22"/>
      <c r="BU56" s="39"/>
      <c r="BV56" s="22"/>
      <c r="BW56" s="22"/>
      <c r="BX56" s="22"/>
      <c r="BY56" s="26"/>
      <c r="FU56" s="43"/>
    </row>
    <row r="57" spans="41:177" ht="18" customHeight="1" hidden="1">
      <c r="AO57" s="52">
        <f t="shared" si="40"/>
        <v>25</v>
      </c>
      <c r="AY57" s="7">
        <f t="shared" si="41"/>
      </c>
      <c r="BL57" s="43"/>
      <c r="BM57" s="43"/>
      <c r="BN57" s="22"/>
      <c r="BR57" s="22"/>
      <c r="BS57" s="26"/>
      <c r="BT57" s="22"/>
      <c r="BU57" s="39"/>
      <c r="BV57" s="22"/>
      <c r="BW57" s="22"/>
      <c r="BX57" s="22"/>
      <c r="BY57" s="26"/>
      <c r="FU57" s="22"/>
    </row>
    <row r="58" spans="41:177" ht="18" customHeight="1" hidden="1">
      <c r="AO58" s="52"/>
      <c r="AP58" s="52"/>
      <c r="AQ58" s="53"/>
      <c r="AY58" s="7">
        <f t="shared" si="41"/>
      </c>
      <c r="BL58" s="22"/>
      <c r="BM58" s="22"/>
      <c r="BN58" s="22"/>
      <c r="BR58" s="22"/>
      <c r="BS58" s="26"/>
      <c r="BT58" s="22"/>
      <c r="BU58" s="39"/>
      <c r="BV58" s="22"/>
      <c r="BW58" s="22"/>
      <c r="BX58" s="22"/>
      <c r="BY58" s="26"/>
      <c r="FU58" s="22"/>
    </row>
    <row r="59" spans="41:177" ht="18" customHeight="1" hidden="1">
      <c r="AO59" s="52"/>
      <c r="AP59" s="52"/>
      <c r="AQ59" s="53"/>
      <c r="AY59" s="7">
        <f t="shared" si="41"/>
      </c>
      <c r="BL59" s="22"/>
      <c r="BM59" s="22"/>
      <c r="BN59" s="22"/>
      <c r="BR59" s="22"/>
      <c r="BS59" s="26"/>
      <c r="BT59" s="22"/>
      <c r="BU59" s="39"/>
      <c r="BV59" s="22"/>
      <c r="BW59" s="22"/>
      <c r="BX59" s="22"/>
      <c r="BY59" s="26"/>
      <c r="FU59" s="22"/>
    </row>
    <row r="60" spans="41:177" ht="18" customHeight="1" hidden="1">
      <c r="AO60" s="52"/>
      <c r="AP60" s="52"/>
      <c r="AQ60" s="53"/>
      <c r="AY60" s="7">
        <f t="shared" si="41"/>
      </c>
      <c r="BL60" s="22"/>
      <c r="BM60" s="22"/>
      <c r="BN60" s="22"/>
      <c r="BR60" s="22"/>
      <c r="BS60" s="26"/>
      <c r="BT60" s="22"/>
      <c r="BU60" s="39"/>
      <c r="BV60" s="22"/>
      <c r="BW60" s="22"/>
      <c r="BX60" s="22"/>
      <c r="BY60" s="26"/>
      <c r="FU60" s="22"/>
    </row>
    <row r="61" spans="41:177" ht="18" customHeight="1" hidden="1">
      <c r="AO61" s="52"/>
      <c r="AP61" s="52"/>
      <c r="AQ61" s="53"/>
      <c r="AY61" s="7">
        <f t="shared" si="41"/>
      </c>
      <c r="BL61" s="22"/>
      <c r="BM61" s="22"/>
      <c r="BN61" s="43"/>
      <c r="BR61" s="22"/>
      <c r="BS61" s="26"/>
      <c r="BT61" s="22"/>
      <c r="BU61" s="39"/>
      <c r="BV61" s="22"/>
      <c r="BW61" s="22"/>
      <c r="BX61" s="22"/>
      <c r="BY61" s="26"/>
      <c r="FU61" s="43"/>
    </row>
    <row r="62" spans="41:177" ht="18" customHeight="1" hidden="1">
      <c r="AO62" s="52"/>
      <c r="AP62" s="52"/>
      <c r="AQ62" s="53"/>
      <c r="AY62" s="7">
        <f t="shared" si="41"/>
      </c>
      <c r="BL62" s="43"/>
      <c r="BM62" s="43"/>
      <c r="BN62" s="43"/>
      <c r="BR62" s="22"/>
      <c r="BS62" s="26"/>
      <c r="BT62" s="22"/>
      <c r="BU62" s="39"/>
      <c r="BV62" s="22"/>
      <c r="BW62" s="22"/>
      <c r="BX62" s="22"/>
      <c r="BY62" s="26"/>
      <c r="FU62" s="10"/>
    </row>
    <row r="63" spans="41:177" ht="18" customHeight="1" hidden="1">
      <c r="AO63" s="52"/>
      <c r="AP63" s="52"/>
      <c r="AQ63" s="53"/>
      <c r="AY63" s="7">
        <f t="shared" si="41"/>
      </c>
      <c r="BL63" s="22"/>
      <c r="BM63" s="43"/>
      <c r="BN63" s="22"/>
      <c r="BR63" s="22"/>
      <c r="BS63" s="26"/>
      <c r="BT63" s="22"/>
      <c r="BU63" s="39"/>
      <c r="BV63" s="22"/>
      <c r="BW63" s="22"/>
      <c r="BX63" s="22"/>
      <c r="BY63" s="26"/>
      <c r="FU63" s="10"/>
    </row>
    <row r="64" spans="41:177" ht="18" customHeight="1" hidden="1">
      <c r="AO64" s="52"/>
      <c r="AP64" s="52"/>
      <c r="AQ64" s="53"/>
      <c r="AY64" s="7">
        <f t="shared" si="41"/>
      </c>
      <c r="BL64" s="22"/>
      <c r="BM64" s="22"/>
      <c r="BN64" s="22"/>
      <c r="BR64" s="22"/>
      <c r="BS64" s="26"/>
      <c r="BT64" s="22"/>
      <c r="BU64" s="39"/>
      <c r="BV64" s="22"/>
      <c r="BW64" s="22"/>
      <c r="BX64" s="22"/>
      <c r="BY64" s="26"/>
      <c r="FU64" s="10"/>
    </row>
    <row r="65" spans="41:177" ht="18" customHeight="1" hidden="1">
      <c r="AO65" s="52"/>
      <c r="AP65" s="52"/>
      <c r="AQ65" s="53"/>
      <c r="AY65" s="7">
        <f t="shared" si="41"/>
      </c>
      <c r="BL65" s="43"/>
      <c r="BM65" s="22"/>
      <c r="BN65" s="22"/>
      <c r="BR65" s="22"/>
      <c r="BS65" s="26"/>
      <c r="BT65" s="22"/>
      <c r="BU65" s="39"/>
      <c r="BV65" s="22"/>
      <c r="BW65" s="22"/>
      <c r="BX65" s="22"/>
      <c r="BY65" s="26"/>
      <c r="FU65" s="43"/>
    </row>
    <row r="66" spans="41:177" ht="18" customHeight="1" hidden="1">
      <c r="AO66" s="52"/>
      <c r="AP66" s="52"/>
      <c r="AQ66" s="53"/>
      <c r="AY66" s="7">
        <f t="shared" si="41"/>
      </c>
      <c r="BL66" s="43"/>
      <c r="BM66" s="22"/>
      <c r="BN66" s="22"/>
      <c r="BR66" s="22"/>
      <c r="BS66" s="26"/>
      <c r="BT66" s="22"/>
      <c r="BU66" s="39"/>
      <c r="BV66" s="22"/>
      <c r="BW66" s="22"/>
      <c r="BX66" s="22"/>
      <c r="BY66" s="26"/>
      <c r="FU66" s="22"/>
    </row>
    <row r="67" spans="41:177" ht="18" customHeight="1" hidden="1">
      <c r="AO67" s="52"/>
      <c r="AP67" s="52"/>
      <c r="AQ67" s="53"/>
      <c r="AY67" s="7">
        <f t="shared" si="41"/>
      </c>
      <c r="BL67" s="22"/>
      <c r="BM67" s="22"/>
      <c r="BN67" s="22"/>
      <c r="BR67" s="22"/>
      <c r="BS67" s="26"/>
      <c r="BT67" s="22"/>
      <c r="BU67" s="39"/>
      <c r="BV67" s="22"/>
      <c r="BW67" s="22"/>
      <c r="BX67" s="22"/>
      <c r="BY67" s="26"/>
      <c r="FU67" s="22"/>
    </row>
    <row r="68" spans="41:177" ht="18" customHeight="1" hidden="1">
      <c r="AO68" s="52"/>
      <c r="AP68" s="52"/>
      <c r="AQ68" s="53"/>
      <c r="AY68" s="7">
        <f t="shared" si="41"/>
      </c>
      <c r="BL68" s="22"/>
      <c r="BM68" s="22"/>
      <c r="BN68" s="22"/>
      <c r="BR68" s="22"/>
      <c r="BS68" s="26"/>
      <c r="BT68" s="22"/>
      <c r="BU68" s="39"/>
      <c r="BV68" s="22"/>
      <c r="BW68" s="22"/>
      <c r="BX68" s="22"/>
      <c r="BY68" s="26"/>
      <c r="FU68" s="22"/>
    </row>
    <row r="69" spans="41:177" ht="18" customHeight="1" hidden="1">
      <c r="AO69" s="52"/>
      <c r="AP69" s="52"/>
      <c r="AQ69" s="53"/>
      <c r="AY69" s="7">
        <f t="shared" si="41"/>
      </c>
      <c r="BL69" s="22"/>
      <c r="BM69" s="22"/>
      <c r="BN69" s="22"/>
      <c r="BR69" s="22"/>
      <c r="BS69" s="26"/>
      <c r="BT69" s="22"/>
      <c r="BU69" s="39"/>
      <c r="BV69" s="22"/>
      <c r="BW69" s="22"/>
      <c r="BX69" s="22"/>
      <c r="BY69" s="26"/>
      <c r="FU69" s="22"/>
    </row>
    <row r="70" spans="41:177" ht="18" customHeight="1" hidden="1">
      <c r="AO70" s="52"/>
      <c r="AP70" s="52"/>
      <c r="AQ70" s="53"/>
      <c r="AY70" s="7">
        <f t="shared" si="41"/>
      </c>
      <c r="BL70" s="22"/>
      <c r="BM70" s="22"/>
      <c r="BN70" s="22"/>
      <c r="BR70" s="22"/>
      <c r="BS70" s="26"/>
      <c r="BT70" s="22"/>
      <c r="BU70" s="39"/>
      <c r="BV70" s="22"/>
      <c r="BW70" s="22"/>
      <c r="BX70" s="22"/>
      <c r="BY70" s="26"/>
      <c r="FU70" s="22"/>
    </row>
    <row r="71" spans="41:177" ht="18" customHeight="1" hidden="1">
      <c r="AO71" s="52"/>
      <c r="AP71" s="52"/>
      <c r="AQ71" s="53"/>
      <c r="AY71" s="7">
        <f t="shared" si="41"/>
      </c>
      <c r="BL71" s="22"/>
      <c r="BM71" s="22"/>
      <c r="BN71" s="43"/>
      <c r="BR71" s="22"/>
      <c r="BS71" s="26"/>
      <c r="BT71" s="22"/>
      <c r="BU71" s="39"/>
      <c r="BV71" s="22"/>
      <c r="BW71" s="22"/>
      <c r="BX71" s="22"/>
      <c r="BY71" s="26"/>
      <c r="FU71" s="43"/>
    </row>
    <row r="72" spans="41:177" ht="18" customHeight="1" hidden="1">
      <c r="AO72" s="52"/>
      <c r="AP72" s="52"/>
      <c r="AQ72" s="53"/>
      <c r="AY72" s="7">
        <f t="shared" si="41"/>
      </c>
      <c r="BL72" s="43"/>
      <c r="BM72" s="43"/>
      <c r="BN72" s="22"/>
      <c r="BR72" s="22"/>
      <c r="BS72" s="26"/>
      <c r="BT72" s="22"/>
      <c r="BU72" s="39"/>
      <c r="BV72" s="22"/>
      <c r="BW72" s="22"/>
      <c r="BX72" s="22"/>
      <c r="BY72" s="26"/>
      <c r="FU72" s="22"/>
    </row>
    <row r="73" spans="41:177" ht="18" customHeight="1" hidden="1">
      <c r="AO73" s="52"/>
      <c r="AP73" s="52"/>
      <c r="AQ73" s="53"/>
      <c r="AY73" s="7">
        <f t="shared" si="41"/>
      </c>
      <c r="BL73" s="22"/>
      <c r="BM73" s="22"/>
      <c r="BN73" s="22"/>
      <c r="BR73" s="22"/>
      <c r="BS73" s="26"/>
      <c r="BT73" s="22"/>
      <c r="BU73" s="39"/>
      <c r="BV73" s="22"/>
      <c r="BW73" s="22"/>
      <c r="BX73" s="22"/>
      <c r="BY73" s="26"/>
      <c r="FU73" s="22"/>
    </row>
    <row r="74" spans="41:177" ht="18" customHeight="1" hidden="1">
      <c r="AO74" s="52"/>
      <c r="AP74" s="52"/>
      <c r="AQ74" s="53"/>
      <c r="AY74" s="7">
        <f t="shared" si="41"/>
      </c>
      <c r="BL74" s="22"/>
      <c r="BM74" s="22"/>
      <c r="BN74" s="22"/>
      <c r="BR74" s="22"/>
      <c r="BS74" s="26"/>
      <c r="BT74" s="22"/>
      <c r="BU74" s="39"/>
      <c r="BV74" s="22"/>
      <c r="BW74" s="22"/>
      <c r="BX74" s="22"/>
      <c r="BY74" s="26"/>
      <c r="FU74" s="22"/>
    </row>
    <row r="75" spans="41:177" ht="18" customHeight="1" hidden="1">
      <c r="AO75" s="52"/>
      <c r="AP75" s="52"/>
      <c r="AQ75" s="53"/>
      <c r="AY75" s="7">
        <f t="shared" si="41"/>
      </c>
      <c r="BL75" s="22"/>
      <c r="BM75" s="22"/>
      <c r="BN75" s="22"/>
      <c r="BR75" s="22"/>
      <c r="BS75" s="26"/>
      <c r="BT75" s="22"/>
      <c r="BU75" s="39"/>
      <c r="BV75" s="22"/>
      <c r="BW75" s="22"/>
      <c r="BX75" s="22"/>
      <c r="BY75" s="26"/>
      <c r="FU75" s="22"/>
    </row>
    <row r="76" spans="41:177" ht="18" customHeight="1" hidden="1">
      <c r="AO76" s="52"/>
      <c r="AP76" s="52"/>
      <c r="AQ76" s="53"/>
      <c r="AY76" s="7">
        <f t="shared" si="41"/>
      </c>
      <c r="BL76" s="22"/>
      <c r="BM76" s="22"/>
      <c r="BN76" s="22"/>
      <c r="BR76" s="22"/>
      <c r="BS76" s="26"/>
      <c r="BT76" s="22"/>
      <c r="BU76" s="39"/>
      <c r="BV76" s="22"/>
      <c r="BW76" s="22"/>
      <c r="BX76" s="22"/>
      <c r="BY76" s="26"/>
      <c r="FU76" s="22"/>
    </row>
    <row r="77" spans="41:177" ht="18" customHeight="1" hidden="1">
      <c r="AO77" s="52"/>
      <c r="AP77" s="52"/>
      <c r="AQ77" s="53"/>
      <c r="AY77" s="7">
        <f t="shared" si="41"/>
      </c>
      <c r="BL77" s="22"/>
      <c r="BM77" s="22"/>
      <c r="BN77" s="22"/>
      <c r="BR77" s="22"/>
      <c r="BS77" s="26"/>
      <c r="BT77" s="22"/>
      <c r="BU77" s="39"/>
      <c r="BV77" s="22"/>
      <c r="BW77" s="22"/>
      <c r="BX77" s="22"/>
      <c r="BY77" s="26"/>
      <c r="FU77" s="10"/>
    </row>
    <row r="78" spans="41:177" ht="18" customHeight="1" hidden="1">
      <c r="AO78" s="52"/>
      <c r="AP78" s="52"/>
      <c r="AQ78" s="53"/>
      <c r="AY78" s="7">
        <f t="shared" si="41"/>
      </c>
      <c r="BL78" s="43"/>
      <c r="BM78" s="22"/>
      <c r="BN78" s="43"/>
      <c r="BR78" s="22"/>
      <c r="BS78" s="26"/>
      <c r="BT78" s="22"/>
      <c r="BU78" s="39"/>
      <c r="BV78" s="22"/>
      <c r="BW78" s="22"/>
      <c r="BX78" s="22"/>
      <c r="BY78" s="26"/>
      <c r="FU78" s="43"/>
    </row>
    <row r="79" spans="41:177" ht="18" customHeight="1" hidden="1">
      <c r="AO79" s="52"/>
      <c r="AP79" s="52"/>
      <c r="AQ79" s="53"/>
      <c r="AY79" s="7">
        <f t="shared" si="41"/>
      </c>
      <c r="BL79" s="43"/>
      <c r="BM79" s="43"/>
      <c r="BN79" s="22"/>
      <c r="BR79" s="22"/>
      <c r="BS79" s="26"/>
      <c r="BT79" s="22"/>
      <c r="BU79" s="39"/>
      <c r="BV79" s="22"/>
      <c r="BW79" s="22"/>
      <c r="BX79" s="22"/>
      <c r="BY79" s="26"/>
      <c r="FU79" s="22"/>
    </row>
    <row r="80" spans="41:177" ht="18" customHeight="1" hidden="1">
      <c r="AO80" s="52"/>
      <c r="AP80" s="52"/>
      <c r="AQ80" s="53"/>
      <c r="AY80" s="7">
        <f t="shared" si="41"/>
      </c>
      <c r="BL80" s="22"/>
      <c r="BM80" s="22"/>
      <c r="BN80" s="22"/>
      <c r="BR80" s="22"/>
      <c r="BS80" s="26"/>
      <c r="BT80" s="22"/>
      <c r="BU80" s="39"/>
      <c r="BV80" s="22"/>
      <c r="BW80" s="22"/>
      <c r="BX80" s="22"/>
      <c r="BY80" s="26"/>
      <c r="FU80" s="22"/>
    </row>
    <row r="81" spans="41:177" ht="18" customHeight="1" hidden="1">
      <c r="AO81" s="52"/>
      <c r="AP81" s="52"/>
      <c r="AQ81" s="53"/>
      <c r="AY81" s="7">
        <f t="shared" si="41"/>
      </c>
      <c r="BL81" s="22"/>
      <c r="BM81" s="22"/>
      <c r="BN81" s="22"/>
      <c r="BR81" s="22"/>
      <c r="BS81" s="26"/>
      <c r="BT81" s="22"/>
      <c r="BU81" s="39"/>
      <c r="BV81" s="22"/>
      <c r="BW81" s="22"/>
      <c r="BX81" s="22"/>
      <c r="BY81" s="26"/>
      <c r="FU81" s="22"/>
    </row>
    <row r="82" spans="41:177" ht="18" customHeight="1" hidden="1">
      <c r="AO82" s="52"/>
      <c r="AP82" s="52"/>
      <c r="AQ82" s="53"/>
      <c r="AY82" s="7">
        <f t="shared" si="41"/>
      </c>
      <c r="BL82" s="22"/>
      <c r="BM82" s="22"/>
      <c r="BN82" s="22"/>
      <c r="BR82" s="22"/>
      <c r="BS82" s="26"/>
      <c r="BT82" s="22"/>
      <c r="BU82" s="39"/>
      <c r="BV82" s="22"/>
      <c r="BW82" s="22"/>
      <c r="BX82" s="22"/>
      <c r="BY82" s="26"/>
      <c r="FU82" s="22"/>
    </row>
    <row r="83" spans="41:177" ht="18" customHeight="1" hidden="1">
      <c r="AO83" s="52"/>
      <c r="AP83" s="52"/>
      <c r="AQ83" s="53"/>
      <c r="AY83" s="7">
        <f t="shared" si="41"/>
      </c>
      <c r="BL83" s="43"/>
      <c r="BM83" s="22"/>
      <c r="BN83" s="43"/>
      <c r="BR83" s="22"/>
      <c r="BS83" s="26"/>
      <c r="BT83" s="22"/>
      <c r="BU83" s="39"/>
      <c r="BV83" s="22"/>
      <c r="BW83" s="22"/>
      <c r="BX83" s="22"/>
      <c r="BY83" s="26"/>
      <c r="FU83" s="43"/>
    </row>
    <row r="84" spans="41:177" ht="18" customHeight="1" hidden="1">
      <c r="AO84" s="52"/>
      <c r="AP84" s="52"/>
      <c r="AQ84" s="53"/>
      <c r="AY84" s="7">
        <f t="shared" si="41"/>
      </c>
      <c r="BL84" s="43"/>
      <c r="BM84" s="43"/>
      <c r="BN84" s="22"/>
      <c r="BR84" s="22"/>
      <c r="BS84" s="26"/>
      <c r="BT84" s="22"/>
      <c r="BU84" s="39"/>
      <c r="BV84" s="22"/>
      <c r="BW84" s="22"/>
      <c r="BX84" s="22"/>
      <c r="BY84" s="26"/>
      <c r="FU84" s="10"/>
    </row>
    <row r="85" spans="41:177" ht="18" customHeight="1" hidden="1">
      <c r="AO85" s="52"/>
      <c r="AP85" s="52"/>
      <c r="AQ85" s="53"/>
      <c r="AY85" s="7">
        <f t="shared" si="41"/>
      </c>
      <c r="BL85" s="22"/>
      <c r="BM85" s="22"/>
      <c r="BN85" s="22"/>
      <c r="BR85" s="22"/>
      <c r="BS85" s="26"/>
      <c r="BT85" s="22"/>
      <c r="BU85" s="39"/>
      <c r="BV85" s="22"/>
      <c r="BW85" s="22"/>
      <c r="BX85" s="22"/>
      <c r="BY85" s="26"/>
      <c r="FU85" s="10"/>
    </row>
    <row r="86" spans="41:177" ht="18" customHeight="1" hidden="1">
      <c r="AO86" s="52"/>
      <c r="AP86" s="52"/>
      <c r="AQ86" s="53"/>
      <c r="AY86" s="7">
        <f t="shared" si="41"/>
      </c>
      <c r="BL86" s="22"/>
      <c r="BM86" s="22"/>
      <c r="BN86" s="43"/>
      <c r="BR86" s="22"/>
      <c r="BS86" s="26"/>
      <c r="BT86" s="22"/>
      <c r="BU86" s="39"/>
      <c r="BV86" s="22"/>
      <c r="BW86" s="22"/>
      <c r="BX86" s="22"/>
      <c r="BY86" s="26"/>
      <c r="FU86" s="43"/>
    </row>
    <row r="87" spans="41:177" ht="18" customHeight="1" hidden="1">
      <c r="AO87" s="52"/>
      <c r="AP87" s="52"/>
      <c r="AQ87" s="53"/>
      <c r="AY87" s="7">
        <f t="shared" si="41"/>
      </c>
      <c r="BL87" s="43"/>
      <c r="BM87" s="43"/>
      <c r="BN87" s="10"/>
      <c r="BR87" s="22"/>
      <c r="BS87" s="26"/>
      <c r="BT87" s="22"/>
      <c r="BU87" s="39"/>
      <c r="BV87" s="22"/>
      <c r="BW87" s="22"/>
      <c r="BX87" s="22"/>
      <c r="BY87" s="26"/>
      <c r="FU87" s="10"/>
    </row>
    <row r="88" spans="41:177" ht="18" customHeight="1" hidden="1">
      <c r="AO88" s="52"/>
      <c r="AP88" s="52"/>
      <c r="AQ88" s="53"/>
      <c r="AY88" s="7">
        <f t="shared" si="41"/>
      </c>
      <c r="AZ88" s="8"/>
      <c r="BA88" s="8"/>
      <c r="BB88" s="8"/>
      <c r="BC88" s="8"/>
      <c r="BD88" s="9"/>
      <c r="BE88" s="9"/>
      <c r="BF88" s="9"/>
      <c r="BG88" s="9"/>
      <c r="BH88" s="9"/>
      <c r="BI88" s="24"/>
      <c r="BJ88" s="24"/>
      <c r="BK88" s="10"/>
      <c r="BL88" s="10"/>
      <c r="BM88" s="10"/>
      <c r="BN88" s="10"/>
      <c r="BR88" s="22"/>
      <c r="BS88" s="26"/>
      <c r="BT88" s="22"/>
      <c r="BU88" s="39"/>
      <c r="BV88" s="22"/>
      <c r="BW88" s="22"/>
      <c r="BX88" s="22"/>
      <c r="BY88" s="26"/>
      <c r="FU88" s="10"/>
    </row>
    <row r="89" spans="51:177" ht="18" customHeight="1" hidden="1">
      <c r="AY89" s="7">
        <f t="shared" si="41"/>
      </c>
      <c r="AZ89" s="8"/>
      <c r="BA89" s="8"/>
      <c r="BB89" s="8"/>
      <c r="BC89" s="8"/>
      <c r="BD89" s="9"/>
      <c r="BE89" s="9"/>
      <c r="BF89" s="9"/>
      <c r="BG89" s="9"/>
      <c r="BH89" s="9"/>
      <c r="BI89" s="24"/>
      <c r="BJ89" s="24"/>
      <c r="BK89" s="10"/>
      <c r="BL89" s="10"/>
      <c r="BM89" s="10"/>
      <c r="BN89" s="10"/>
      <c r="BR89" s="22"/>
      <c r="BS89" s="26"/>
      <c r="BT89" s="22"/>
      <c r="BU89" s="39"/>
      <c r="BV89" s="22"/>
      <c r="BW89" s="22"/>
      <c r="BX89" s="22"/>
      <c r="BY89" s="26"/>
      <c r="FU89" s="10"/>
    </row>
    <row r="90" spans="51:177" ht="18" customHeight="1" hidden="1">
      <c r="AY90" s="7">
        <f t="shared" si="41"/>
      </c>
      <c r="AZ90" s="8"/>
      <c r="BA90" s="8"/>
      <c r="BB90" s="8"/>
      <c r="BC90" s="8"/>
      <c r="BD90" s="9"/>
      <c r="BE90" s="9"/>
      <c r="BF90" s="9"/>
      <c r="BG90" s="9"/>
      <c r="BH90" s="9"/>
      <c r="BI90" s="24"/>
      <c r="BJ90" s="24"/>
      <c r="BK90" s="10"/>
      <c r="BL90" s="10"/>
      <c r="BM90" s="10"/>
      <c r="BN90" s="10"/>
      <c r="BR90" s="22"/>
      <c r="BS90" s="26"/>
      <c r="BT90" s="22"/>
      <c r="BU90" s="39"/>
      <c r="BV90" s="22"/>
      <c r="BW90" s="22"/>
      <c r="BX90" s="22"/>
      <c r="BY90" s="26"/>
      <c r="FU90" s="10"/>
    </row>
    <row r="91" spans="51:177" ht="18" customHeight="1" hidden="1">
      <c r="AY91" s="7">
        <f t="shared" si="41"/>
      </c>
      <c r="AZ91" s="8"/>
      <c r="BA91" s="8"/>
      <c r="BB91" s="8"/>
      <c r="BC91" s="8"/>
      <c r="BD91" s="9"/>
      <c r="BE91" s="9"/>
      <c r="BF91" s="9"/>
      <c r="BG91" s="9"/>
      <c r="BH91" s="9"/>
      <c r="BI91" s="24"/>
      <c r="BJ91" s="24"/>
      <c r="BK91" s="10"/>
      <c r="BL91" s="10"/>
      <c r="BM91" s="10"/>
      <c r="BN91" s="10"/>
      <c r="BR91" s="22"/>
      <c r="BS91" s="26"/>
      <c r="BT91" s="22"/>
      <c r="BU91" s="39"/>
      <c r="BV91" s="22"/>
      <c r="BW91" s="22"/>
      <c r="BX91" s="22"/>
      <c r="BY91" s="26"/>
      <c r="FU91" s="10"/>
    </row>
    <row r="92" spans="51:177" ht="18" customHeight="1" hidden="1">
      <c r="AY92" s="7">
        <f t="shared" si="41"/>
      </c>
      <c r="AZ92" s="8"/>
      <c r="BA92" s="8"/>
      <c r="BB92" s="8"/>
      <c r="BC92" s="8"/>
      <c r="BD92" s="9"/>
      <c r="BE92" s="9"/>
      <c r="BF92" s="9"/>
      <c r="BG92" s="9"/>
      <c r="BH92" s="9"/>
      <c r="BI92" s="24"/>
      <c r="BJ92" s="24"/>
      <c r="BK92" s="10"/>
      <c r="BL92" s="10"/>
      <c r="BM92" s="10"/>
      <c r="BN92" s="22"/>
      <c r="BR92" s="22"/>
      <c r="BS92" s="26"/>
      <c r="BT92" s="22"/>
      <c r="BU92" s="39"/>
      <c r="BV92" s="22"/>
      <c r="BW92" s="22"/>
      <c r="BX92" s="22"/>
      <c r="BY92" s="26"/>
      <c r="FU92" s="10"/>
    </row>
    <row r="93" spans="51:177" ht="18" customHeight="1" hidden="1">
      <c r="AY93" s="7">
        <f t="shared" si="41"/>
      </c>
      <c r="BL93" s="43"/>
      <c r="BM93" s="22"/>
      <c r="BN93" s="43"/>
      <c r="BR93" s="22"/>
      <c r="BS93" s="26"/>
      <c r="BT93" s="22"/>
      <c r="BU93" s="39"/>
      <c r="BV93" s="22"/>
      <c r="BW93" s="22"/>
      <c r="BX93" s="22"/>
      <c r="BY93" s="26"/>
      <c r="FU93" s="43"/>
    </row>
    <row r="94" spans="51:177" ht="18" customHeight="1" hidden="1">
      <c r="AY94" s="7">
        <f t="shared" si="41"/>
      </c>
      <c r="BL94" s="43"/>
      <c r="BM94" s="43"/>
      <c r="BN94" s="10"/>
      <c r="BR94" s="22"/>
      <c r="BS94" s="26"/>
      <c r="BT94" s="22"/>
      <c r="BU94" s="39"/>
      <c r="BV94" s="22"/>
      <c r="BW94" s="22"/>
      <c r="BX94" s="22"/>
      <c r="BY94" s="26"/>
      <c r="FU94" s="10"/>
    </row>
    <row r="95" spans="51:177" ht="18" customHeight="1" hidden="1">
      <c r="AY95" s="7">
        <f aca="true" t="shared" si="42" ref="AY95:AY172">IF(AZ95="","",AY94+1)</f>
      </c>
      <c r="AZ95" s="8"/>
      <c r="BA95" s="8"/>
      <c r="BB95" s="8"/>
      <c r="BC95" s="8"/>
      <c r="BD95" s="9"/>
      <c r="BE95" s="9"/>
      <c r="BF95" s="9"/>
      <c r="BG95" s="9"/>
      <c r="BH95" s="9"/>
      <c r="BI95" s="24"/>
      <c r="BJ95" s="24"/>
      <c r="BK95" s="10"/>
      <c r="BL95" s="10"/>
      <c r="BM95" s="10"/>
      <c r="BN95" s="10"/>
      <c r="BR95" s="22"/>
      <c r="BS95" s="26"/>
      <c r="BT95" s="22"/>
      <c r="BU95" s="39"/>
      <c r="BV95" s="22"/>
      <c r="BW95" s="22"/>
      <c r="BX95" s="22"/>
      <c r="BY95" s="26"/>
      <c r="FU95" s="10"/>
    </row>
    <row r="96" spans="51:177" ht="18" customHeight="1" hidden="1">
      <c r="AY96" s="7">
        <f t="shared" si="42"/>
      </c>
      <c r="AZ96" s="8"/>
      <c r="BA96" s="8"/>
      <c r="BB96" s="8"/>
      <c r="BC96" s="8"/>
      <c r="BD96" s="9"/>
      <c r="BE96" s="9"/>
      <c r="BF96" s="9"/>
      <c r="BG96" s="9"/>
      <c r="BH96" s="9"/>
      <c r="BI96" s="24"/>
      <c r="BJ96" s="24"/>
      <c r="BK96" s="10"/>
      <c r="BL96" s="10"/>
      <c r="BM96" s="10"/>
      <c r="BN96" s="10"/>
      <c r="BR96" s="22"/>
      <c r="BS96" s="26"/>
      <c r="BT96" s="22"/>
      <c r="BU96" s="39"/>
      <c r="BV96" s="22"/>
      <c r="BW96" s="22"/>
      <c r="BX96" s="22"/>
      <c r="BY96" s="26"/>
      <c r="FU96" s="10"/>
    </row>
    <row r="97" spans="51:177" ht="18" customHeight="1" hidden="1">
      <c r="AY97" s="7">
        <f t="shared" si="42"/>
      </c>
      <c r="AZ97" s="8"/>
      <c r="BA97" s="8"/>
      <c r="BB97" s="8"/>
      <c r="BC97" s="8"/>
      <c r="BD97" s="9"/>
      <c r="BE97" s="9"/>
      <c r="BF97" s="9"/>
      <c r="BG97" s="9"/>
      <c r="BH97" s="9"/>
      <c r="BI97" s="24"/>
      <c r="BJ97" s="24"/>
      <c r="BK97" s="10"/>
      <c r="BL97" s="10"/>
      <c r="BM97" s="10"/>
      <c r="BN97" s="10"/>
      <c r="BR97" s="22"/>
      <c r="BS97" s="26"/>
      <c r="BT97" s="22"/>
      <c r="BU97" s="39"/>
      <c r="BV97" s="22"/>
      <c r="BW97" s="22"/>
      <c r="BX97" s="22"/>
      <c r="BY97" s="26"/>
      <c r="FU97" s="10"/>
    </row>
    <row r="98" spans="51:177" ht="18" customHeight="1" hidden="1">
      <c r="AY98" s="7">
        <f t="shared" si="42"/>
      </c>
      <c r="AZ98" s="8"/>
      <c r="BA98" s="8"/>
      <c r="BB98" s="8"/>
      <c r="BC98" s="8"/>
      <c r="BD98" s="9"/>
      <c r="BE98" s="9"/>
      <c r="BF98" s="9"/>
      <c r="BG98" s="9"/>
      <c r="BH98" s="9"/>
      <c r="BI98" s="24"/>
      <c r="BJ98" s="24"/>
      <c r="BK98" s="10"/>
      <c r="BL98" s="10"/>
      <c r="BM98" s="10"/>
      <c r="BN98" s="22"/>
      <c r="BR98" s="22"/>
      <c r="BS98" s="26"/>
      <c r="BT98" s="22"/>
      <c r="BU98" s="39"/>
      <c r="BV98" s="22"/>
      <c r="BW98" s="22"/>
      <c r="BX98" s="22"/>
      <c r="BY98" s="26"/>
      <c r="FU98" s="10"/>
    </row>
    <row r="99" spans="51:177" ht="18" customHeight="1" hidden="1">
      <c r="AY99" s="7">
        <f t="shared" si="42"/>
      </c>
      <c r="BL99" s="43"/>
      <c r="BM99" s="22"/>
      <c r="BN99" s="43"/>
      <c r="BR99" s="22"/>
      <c r="BS99" s="26"/>
      <c r="BT99" s="22"/>
      <c r="BU99" s="39"/>
      <c r="BV99" s="22"/>
      <c r="BW99" s="22"/>
      <c r="BX99" s="22"/>
      <c r="BY99" s="26"/>
      <c r="FU99" s="43"/>
    </row>
    <row r="100" spans="51:177" ht="18" customHeight="1" hidden="1">
      <c r="AY100" s="7">
        <f t="shared" si="42"/>
      </c>
      <c r="BL100" s="43"/>
      <c r="BM100" s="43"/>
      <c r="BN100" s="22"/>
      <c r="BR100" s="22"/>
      <c r="BS100" s="26"/>
      <c r="BT100" s="22"/>
      <c r="BU100" s="39"/>
      <c r="BV100" s="22"/>
      <c r="BW100" s="22"/>
      <c r="BX100" s="22"/>
      <c r="BY100" s="26"/>
      <c r="FU100" s="22"/>
    </row>
    <row r="101" spans="51:177" ht="18" customHeight="1" hidden="1">
      <c r="AY101" s="7">
        <f t="shared" si="42"/>
      </c>
      <c r="BL101" s="22"/>
      <c r="BM101" s="22"/>
      <c r="BN101" s="22"/>
      <c r="BR101" s="22"/>
      <c r="BS101" s="26"/>
      <c r="BT101" s="22"/>
      <c r="BU101" s="39"/>
      <c r="BV101" s="22"/>
      <c r="BW101" s="22"/>
      <c r="BX101" s="22"/>
      <c r="BY101" s="26"/>
      <c r="FU101" s="22"/>
    </row>
    <row r="102" spans="51:177" ht="18" customHeight="1" hidden="1">
      <c r="AY102" s="7">
        <f t="shared" si="42"/>
      </c>
      <c r="BL102" s="22"/>
      <c r="BM102" s="22"/>
      <c r="BN102" s="22"/>
      <c r="BR102" s="22"/>
      <c r="BS102" s="26"/>
      <c r="BT102" s="22"/>
      <c r="BU102" s="39"/>
      <c r="BV102" s="22"/>
      <c r="BW102" s="22"/>
      <c r="BX102" s="22"/>
      <c r="BY102" s="26"/>
      <c r="FU102" s="22"/>
    </row>
    <row r="103" spans="51:177" ht="18" customHeight="1" hidden="1">
      <c r="AY103" s="7">
        <f t="shared" si="42"/>
      </c>
      <c r="BL103" s="22"/>
      <c r="BM103" s="22"/>
      <c r="BN103" s="22"/>
      <c r="BR103" s="22"/>
      <c r="BS103" s="26"/>
      <c r="BT103" s="22"/>
      <c r="BU103" s="39"/>
      <c r="BV103" s="22"/>
      <c r="BW103" s="22"/>
      <c r="BX103" s="22"/>
      <c r="BY103" s="26"/>
      <c r="FU103" s="22"/>
    </row>
    <row r="104" spans="51:177" ht="18" customHeight="1" hidden="1">
      <c r="AY104" s="7">
        <f t="shared" si="42"/>
      </c>
      <c r="BL104" s="22"/>
      <c r="BM104" s="22"/>
      <c r="BN104" s="22"/>
      <c r="BR104" s="22"/>
      <c r="BS104" s="26"/>
      <c r="BT104" s="22"/>
      <c r="BU104" s="39"/>
      <c r="BV104" s="22"/>
      <c r="BW104" s="22"/>
      <c r="BX104" s="22"/>
      <c r="BY104" s="26"/>
      <c r="FU104" s="22"/>
    </row>
    <row r="105" spans="51:177" ht="18" customHeight="1" hidden="1">
      <c r="AY105" s="7">
        <f t="shared" si="42"/>
      </c>
      <c r="BL105" s="22"/>
      <c r="BM105" s="22"/>
      <c r="BN105" s="43"/>
      <c r="BR105" s="22"/>
      <c r="BS105" s="26"/>
      <c r="BT105" s="22"/>
      <c r="BU105" s="39"/>
      <c r="BV105" s="22"/>
      <c r="BW105" s="22"/>
      <c r="BX105" s="22"/>
      <c r="BY105" s="26"/>
      <c r="FU105" s="43"/>
    </row>
    <row r="106" spans="51:177" ht="18" customHeight="1" hidden="1">
      <c r="AY106" s="7">
        <f t="shared" si="42"/>
      </c>
      <c r="BL106" s="43"/>
      <c r="BM106" s="43"/>
      <c r="BN106" s="43"/>
      <c r="BR106" s="22"/>
      <c r="BS106" s="26"/>
      <c r="BT106" s="22"/>
      <c r="BU106" s="39"/>
      <c r="BV106" s="22"/>
      <c r="BW106" s="22"/>
      <c r="BX106" s="22"/>
      <c r="BY106" s="26"/>
      <c r="FU106" s="43"/>
    </row>
    <row r="107" spans="51:177" ht="18" customHeight="1" hidden="1">
      <c r="AY107" s="7">
        <f t="shared" si="42"/>
      </c>
      <c r="BL107" s="43"/>
      <c r="BM107" s="43"/>
      <c r="BN107" s="22"/>
      <c r="BR107" s="22"/>
      <c r="BS107" s="26"/>
      <c r="BT107" s="22"/>
      <c r="BU107" s="39"/>
      <c r="BV107" s="22"/>
      <c r="BW107" s="22"/>
      <c r="BX107" s="22"/>
      <c r="BY107" s="26"/>
      <c r="FU107" s="22"/>
    </row>
    <row r="108" spans="51:177" ht="18" customHeight="1" hidden="1">
      <c r="AY108" s="7">
        <f t="shared" si="42"/>
      </c>
      <c r="BL108" s="22"/>
      <c r="BM108" s="22"/>
      <c r="BN108" s="22"/>
      <c r="BR108" s="22"/>
      <c r="BS108" s="26"/>
      <c r="BT108" s="22"/>
      <c r="BU108" s="39"/>
      <c r="BV108" s="22"/>
      <c r="BW108" s="22"/>
      <c r="BX108" s="22"/>
      <c r="BY108" s="26"/>
      <c r="FU108" s="22"/>
    </row>
    <row r="109" spans="51:177" ht="18" customHeight="1" hidden="1">
      <c r="AY109" s="7">
        <f t="shared" si="42"/>
      </c>
      <c r="BL109" s="22"/>
      <c r="BM109" s="22"/>
      <c r="BN109" s="43"/>
      <c r="BR109" s="22"/>
      <c r="BS109" s="26"/>
      <c r="BT109" s="22"/>
      <c r="BU109" s="39"/>
      <c r="BV109" s="22"/>
      <c r="BW109" s="22"/>
      <c r="BX109" s="22"/>
      <c r="BY109" s="26"/>
      <c r="FU109" s="43"/>
    </row>
    <row r="110" spans="51:177" ht="18" customHeight="1" hidden="1">
      <c r="AY110" s="7">
        <f t="shared" si="42"/>
      </c>
      <c r="BL110" s="43"/>
      <c r="BM110" s="43"/>
      <c r="BN110" s="10"/>
      <c r="BR110" s="22"/>
      <c r="BS110" s="26"/>
      <c r="BT110" s="22"/>
      <c r="BU110" s="39"/>
      <c r="BV110" s="22"/>
      <c r="BW110" s="22"/>
      <c r="BX110" s="22"/>
      <c r="BY110" s="26"/>
      <c r="FU110" s="10"/>
    </row>
    <row r="111" spans="51:177" ht="18" customHeight="1" hidden="1">
      <c r="AY111" s="7">
        <f t="shared" si="42"/>
      </c>
      <c r="AZ111" s="8"/>
      <c r="BA111" s="8"/>
      <c r="BB111" s="8"/>
      <c r="BC111" s="8"/>
      <c r="BD111" s="9"/>
      <c r="BE111" s="9"/>
      <c r="BF111" s="9"/>
      <c r="BG111" s="9"/>
      <c r="BH111" s="9"/>
      <c r="BI111" s="24"/>
      <c r="BJ111" s="24"/>
      <c r="BK111" s="10"/>
      <c r="BL111" s="10"/>
      <c r="BM111" s="10"/>
      <c r="BN111" s="10"/>
      <c r="BR111" s="22"/>
      <c r="BS111" s="26"/>
      <c r="BT111" s="22"/>
      <c r="BU111" s="39"/>
      <c r="BV111" s="22"/>
      <c r="BW111" s="22"/>
      <c r="BX111" s="22"/>
      <c r="BY111" s="26"/>
      <c r="FU111" s="10"/>
    </row>
    <row r="112" spans="51:177" ht="18" customHeight="1" hidden="1">
      <c r="AY112" s="7">
        <f t="shared" si="42"/>
      </c>
      <c r="AZ112" s="8"/>
      <c r="BA112" s="8"/>
      <c r="BB112" s="8"/>
      <c r="BC112" s="8"/>
      <c r="BD112" s="9"/>
      <c r="BE112" s="9"/>
      <c r="BF112" s="9"/>
      <c r="BG112" s="9"/>
      <c r="BH112" s="9"/>
      <c r="BI112" s="24"/>
      <c r="BJ112" s="24"/>
      <c r="BK112" s="10"/>
      <c r="BL112" s="10"/>
      <c r="BM112" s="10"/>
      <c r="BN112" s="10"/>
      <c r="BR112" s="22"/>
      <c r="BS112" s="26"/>
      <c r="BT112" s="22"/>
      <c r="BU112" s="39"/>
      <c r="BV112" s="22"/>
      <c r="BW112" s="22"/>
      <c r="BX112" s="22"/>
      <c r="BY112" s="26"/>
      <c r="FU112" s="10"/>
    </row>
    <row r="113" spans="51:177" ht="18" customHeight="1" hidden="1">
      <c r="AY113" s="7">
        <f t="shared" si="42"/>
      </c>
      <c r="AZ113" s="8"/>
      <c r="BA113" s="8"/>
      <c r="BB113" s="8"/>
      <c r="BC113" s="8"/>
      <c r="BD113" s="9"/>
      <c r="BE113" s="9"/>
      <c r="BF113" s="9"/>
      <c r="BG113" s="9"/>
      <c r="BH113" s="9"/>
      <c r="BI113" s="24"/>
      <c r="BJ113" s="24"/>
      <c r="BK113" s="10"/>
      <c r="BL113" s="10"/>
      <c r="BM113" s="10"/>
      <c r="BN113" s="10"/>
      <c r="BR113" s="22"/>
      <c r="BS113" s="26"/>
      <c r="BT113" s="22"/>
      <c r="BU113" s="39"/>
      <c r="BV113" s="22"/>
      <c r="BW113" s="22"/>
      <c r="BX113" s="22"/>
      <c r="BY113" s="26"/>
      <c r="FU113" s="10"/>
    </row>
    <row r="114" spans="51:177" ht="18" customHeight="1" hidden="1">
      <c r="AY114" s="7">
        <f t="shared" si="42"/>
      </c>
      <c r="AZ114" s="8"/>
      <c r="BA114" s="8"/>
      <c r="BB114" s="8"/>
      <c r="BC114" s="8"/>
      <c r="BD114" s="9"/>
      <c r="BE114" s="9"/>
      <c r="BF114" s="9"/>
      <c r="BG114" s="9"/>
      <c r="BH114" s="9"/>
      <c r="BI114" s="24"/>
      <c r="BJ114" s="24"/>
      <c r="BK114" s="10"/>
      <c r="BL114" s="10"/>
      <c r="BM114" s="10"/>
      <c r="BN114" s="22"/>
      <c r="BR114" s="22"/>
      <c r="BS114" s="26"/>
      <c r="BT114" s="22"/>
      <c r="BU114" s="39"/>
      <c r="BV114" s="22"/>
      <c r="BW114" s="22"/>
      <c r="BX114" s="22"/>
      <c r="BY114" s="26"/>
      <c r="FU114" s="10"/>
    </row>
    <row r="115" spans="51:177" ht="18" customHeight="1" hidden="1">
      <c r="AY115" s="7">
        <f t="shared" si="42"/>
      </c>
      <c r="BL115" s="43"/>
      <c r="BM115" s="22"/>
      <c r="BN115" s="43"/>
      <c r="BR115" s="22"/>
      <c r="BS115" s="26"/>
      <c r="BT115" s="22"/>
      <c r="BU115" s="39"/>
      <c r="BV115" s="22"/>
      <c r="BW115" s="22"/>
      <c r="BX115" s="22"/>
      <c r="BY115" s="26"/>
      <c r="FU115" s="22"/>
    </row>
    <row r="116" spans="51:177" ht="18" customHeight="1" hidden="1">
      <c r="AY116" s="7">
        <f t="shared" si="42"/>
      </c>
      <c r="BL116" s="43"/>
      <c r="BM116" s="43"/>
      <c r="BN116" s="22"/>
      <c r="BR116" s="22"/>
      <c r="BS116" s="26"/>
      <c r="BT116" s="22"/>
      <c r="BU116" s="39"/>
      <c r="BV116" s="22"/>
      <c r="BW116" s="22"/>
      <c r="BX116" s="22"/>
      <c r="BY116" s="26"/>
      <c r="FU116" s="22"/>
    </row>
    <row r="117" spans="51:177" ht="18" customHeight="1" hidden="1">
      <c r="AY117" s="7">
        <f t="shared" si="42"/>
      </c>
      <c r="BL117" s="22"/>
      <c r="BM117" s="22"/>
      <c r="BN117" s="22"/>
      <c r="BR117" s="22"/>
      <c r="BS117" s="26"/>
      <c r="BT117" s="22"/>
      <c r="BU117" s="39"/>
      <c r="BV117" s="22"/>
      <c r="BW117" s="22"/>
      <c r="BX117" s="22"/>
      <c r="BY117" s="26"/>
      <c r="FU117" s="22"/>
    </row>
    <row r="118" spans="51:177" ht="18" customHeight="1" hidden="1">
      <c r="AY118" s="7">
        <f t="shared" si="42"/>
      </c>
      <c r="BL118" s="22"/>
      <c r="BM118" s="22"/>
      <c r="BN118" s="22"/>
      <c r="BR118" s="22"/>
      <c r="BS118" s="26"/>
      <c r="BT118" s="22"/>
      <c r="BU118" s="39"/>
      <c r="BV118" s="22"/>
      <c r="BW118" s="22"/>
      <c r="BX118" s="22"/>
      <c r="BY118" s="26"/>
      <c r="FU118" s="22"/>
    </row>
    <row r="119" spans="51:177" ht="18" customHeight="1" hidden="1">
      <c r="AY119" s="7">
        <f t="shared" si="42"/>
      </c>
      <c r="BL119" s="22"/>
      <c r="BM119" s="22"/>
      <c r="BN119" s="22"/>
      <c r="BR119" s="22"/>
      <c r="BS119" s="26"/>
      <c r="BT119" s="22"/>
      <c r="BU119" s="39"/>
      <c r="BV119" s="22"/>
      <c r="BW119" s="22"/>
      <c r="BX119" s="22"/>
      <c r="BY119" s="26"/>
      <c r="FU119" s="22"/>
    </row>
    <row r="120" spans="51:177" ht="18" customHeight="1" hidden="1">
      <c r="AY120" s="7">
        <f t="shared" si="42"/>
      </c>
      <c r="BL120" s="22"/>
      <c r="BM120" s="22"/>
      <c r="BN120" s="22"/>
      <c r="BR120" s="22"/>
      <c r="BS120" s="26"/>
      <c r="BT120" s="22"/>
      <c r="BU120" s="39"/>
      <c r="BV120" s="22"/>
      <c r="BW120" s="22"/>
      <c r="BX120" s="22"/>
      <c r="BY120" s="26"/>
      <c r="FU120" s="22"/>
    </row>
    <row r="121" spans="51:177" ht="18" customHeight="1" hidden="1">
      <c r="AY121" s="7">
        <f t="shared" si="42"/>
      </c>
      <c r="BL121" s="22"/>
      <c r="BM121" s="22"/>
      <c r="BN121" s="22"/>
      <c r="BR121" s="22"/>
      <c r="BS121" s="26"/>
      <c r="BT121" s="22"/>
      <c r="BU121" s="39"/>
      <c r="BV121" s="22"/>
      <c r="BW121" s="22"/>
      <c r="BX121" s="22"/>
      <c r="BY121" s="26"/>
      <c r="FU121" s="22"/>
    </row>
    <row r="122" spans="51:177" ht="18" customHeight="1" hidden="1">
      <c r="AY122" s="7">
        <f t="shared" si="42"/>
      </c>
      <c r="BL122" s="22"/>
      <c r="BM122" s="22"/>
      <c r="BN122" s="22"/>
      <c r="BR122" s="22"/>
      <c r="BS122" s="26"/>
      <c r="BT122" s="22"/>
      <c r="BU122" s="39"/>
      <c r="BV122" s="22"/>
      <c r="BW122" s="22"/>
      <c r="BX122" s="22"/>
      <c r="BY122" s="26"/>
      <c r="FU122" s="22"/>
    </row>
    <row r="123" spans="51:177" ht="18" customHeight="1" hidden="1">
      <c r="AY123" s="7">
        <f t="shared" si="42"/>
      </c>
      <c r="BL123" s="22"/>
      <c r="BM123" s="22"/>
      <c r="BN123" s="22"/>
      <c r="BR123" s="22"/>
      <c r="BS123" s="26"/>
      <c r="BT123" s="22"/>
      <c r="BU123" s="39"/>
      <c r="BV123" s="22"/>
      <c r="BW123" s="22"/>
      <c r="BX123" s="22"/>
      <c r="BY123" s="26"/>
      <c r="FU123" s="22"/>
    </row>
    <row r="124" spans="51:177" ht="18" customHeight="1" hidden="1">
      <c r="AY124" s="7">
        <f t="shared" si="42"/>
      </c>
      <c r="BL124" s="22"/>
      <c r="BM124" s="22"/>
      <c r="BN124" s="22"/>
      <c r="BR124" s="22"/>
      <c r="BS124" s="26"/>
      <c r="BT124" s="22"/>
      <c r="BU124" s="39"/>
      <c r="BV124" s="22"/>
      <c r="BW124" s="22"/>
      <c r="BX124" s="22"/>
      <c r="BY124" s="26"/>
      <c r="FU124" s="22"/>
    </row>
    <row r="125" spans="51:177" ht="18" customHeight="1" hidden="1">
      <c r="AY125" s="7">
        <f t="shared" si="42"/>
      </c>
      <c r="BL125" s="22"/>
      <c r="BM125" s="22"/>
      <c r="BN125" s="22"/>
      <c r="BR125" s="22"/>
      <c r="BS125" s="26"/>
      <c r="BT125" s="22"/>
      <c r="BU125" s="39"/>
      <c r="BV125" s="22"/>
      <c r="BW125" s="22"/>
      <c r="BX125" s="22"/>
      <c r="BY125" s="26"/>
      <c r="FU125" s="22"/>
    </row>
    <row r="126" spans="51:177" ht="18" customHeight="1" hidden="1">
      <c r="AY126" s="7">
        <f t="shared" si="42"/>
      </c>
      <c r="BL126" s="22"/>
      <c r="BM126" s="22"/>
      <c r="BN126" s="22"/>
      <c r="BR126" s="22"/>
      <c r="BS126" s="26"/>
      <c r="BT126" s="22"/>
      <c r="BU126" s="39"/>
      <c r="BV126" s="22"/>
      <c r="BW126" s="22"/>
      <c r="BX126" s="22"/>
      <c r="BY126" s="26"/>
      <c r="FU126" s="22"/>
    </row>
    <row r="127" spans="51:177" ht="18" customHeight="1" hidden="1">
      <c r="AY127" s="7">
        <f t="shared" si="42"/>
      </c>
      <c r="BL127" s="22"/>
      <c r="BM127" s="22"/>
      <c r="BN127" s="22"/>
      <c r="BR127" s="22"/>
      <c r="BS127" s="26"/>
      <c r="BT127" s="22"/>
      <c r="BU127" s="39"/>
      <c r="BV127" s="22"/>
      <c r="BW127" s="22"/>
      <c r="BX127" s="22"/>
      <c r="BY127" s="26"/>
      <c r="FU127" s="22"/>
    </row>
    <row r="128" spans="51:177" ht="18" customHeight="1" hidden="1">
      <c r="AY128" s="7">
        <f t="shared" si="42"/>
      </c>
      <c r="BL128" s="22"/>
      <c r="BM128" s="22"/>
      <c r="BN128" s="22"/>
      <c r="BR128" s="22"/>
      <c r="BS128" s="26"/>
      <c r="BT128" s="22"/>
      <c r="BU128" s="39"/>
      <c r="BV128" s="22"/>
      <c r="BW128" s="22"/>
      <c r="BX128" s="22"/>
      <c r="BY128" s="26"/>
      <c r="FU128" s="22"/>
    </row>
    <row r="129" spans="51:177" ht="18" customHeight="1" hidden="1">
      <c r="AY129" s="7">
        <f t="shared" si="42"/>
      </c>
      <c r="BL129" s="22"/>
      <c r="BM129" s="22"/>
      <c r="BN129" s="22"/>
      <c r="BR129" s="22"/>
      <c r="BS129" s="26"/>
      <c r="BT129" s="22"/>
      <c r="BU129" s="39"/>
      <c r="BV129" s="22"/>
      <c r="BW129" s="22"/>
      <c r="BX129" s="22"/>
      <c r="BY129" s="26"/>
      <c r="FU129" s="22"/>
    </row>
    <row r="130" spans="51:177" ht="18" customHeight="1" hidden="1">
      <c r="AY130" s="7">
        <f t="shared" si="42"/>
      </c>
      <c r="BL130" s="22"/>
      <c r="BM130" s="22"/>
      <c r="BN130" s="22"/>
      <c r="BR130" s="22"/>
      <c r="BS130" s="26"/>
      <c r="BT130" s="22"/>
      <c r="BU130" s="39"/>
      <c r="BV130" s="22"/>
      <c r="BW130" s="22"/>
      <c r="BX130" s="22"/>
      <c r="BY130" s="26"/>
      <c r="FU130" s="22"/>
    </row>
    <row r="131" spans="51:177" ht="18" customHeight="1" hidden="1">
      <c r="AY131" s="7">
        <f t="shared" si="42"/>
      </c>
      <c r="BL131" s="22"/>
      <c r="BM131" s="22"/>
      <c r="BN131" s="22"/>
      <c r="BR131" s="22"/>
      <c r="BS131" s="26"/>
      <c r="BT131" s="22"/>
      <c r="BU131" s="39"/>
      <c r="BV131" s="22"/>
      <c r="BW131" s="22"/>
      <c r="BX131" s="22"/>
      <c r="BY131" s="26"/>
      <c r="FU131" s="22"/>
    </row>
    <row r="132" spans="51:177" ht="18" customHeight="1" hidden="1">
      <c r="AY132" s="7">
        <f t="shared" si="42"/>
      </c>
      <c r="BL132" s="22"/>
      <c r="BM132" s="22"/>
      <c r="BN132" s="22"/>
      <c r="BR132" s="22"/>
      <c r="BS132" s="26"/>
      <c r="BT132" s="22"/>
      <c r="BU132" s="39"/>
      <c r="BV132" s="22"/>
      <c r="BW132" s="22"/>
      <c r="BX132" s="22"/>
      <c r="BY132" s="26"/>
      <c r="FU132" s="22"/>
    </row>
    <row r="133" spans="51:177" ht="18" customHeight="1" hidden="1">
      <c r="AY133" s="7">
        <f t="shared" si="42"/>
      </c>
      <c r="BL133" s="22"/>
      <c r="BM133" s="22"/>
      <c r="BN133" s="22"/>
      <c r="BR133" s="22"/>
      <c r="BS133" s="26"/>
      <c r="BT133" s="22"/>
      <c r="BU133" s="39"/>
      <c r="BV133" s="22"/>
      <c r="BW133" s="22"/>
      <c r="BX133" s="22"/>
      <c r="BY133" s="26"/>
      <c r="FU133" s="22"/>
    </row>
    <row r="134" spans="51:177" ht="18" customHeight="1" hidden="1">
      <c r="AY134" s="7">
        <f t="shared" si="42"/>
      </c>
      <c r="BL134" s="22"/>
      <c r="BM134" s="22"/>
      <c r="BN134" s="22"/>
      <c r="BR134" s="22"/>
      <c r="BS134" s="26"/>
      <c r="BT134" s="22"/>
      <c r="BU134" s="39"/>
      <c r="BV134" s="22"/>
      <c r="BW134" s="22"/>
      <c r="BX134" s="22"/>
      <c r="BY134" s="26"/>
      <c r="FU134" s="22"/>
    </row>
    <row r="135" spans="51:177" ht="18" customHeight="1" hidden="1">
      <c r="AY135" s="7">
        <f t="shared" si="42"/>
      </c>
      <c r="BL135" s="22"/>
      <c r="BM135" s="22"/>
      <c r="BN135" s="22"/>
      <c r="BR135" s="22"/>
      <c r="BS135" s="26"/>
      <c r="BT135" s="22"/>
      <c r="BU135" s="39"/>
      <c r="BV135" s="22"/>
      <c r="BW135" s="22"/>
      <c r="BX135" s="22"/>
      <c r="BY135" s="26"/>
      <c r="FU135" s="22"/>
    </row>
    <row r="136" spans="51:177" ht="18" customHeight="1" hidden="1">
      <c r="AY136" s="7">
        <f>IF(AZ136="","",AY134+1)</f>
      </c>
      <c r="BL136" s="22"/>
      <c r="BM136" s="22"/>
      <c r="BN136" s="22"/>
      <c r="BR136" s="22"/>
      <c r="BS136" s="26"/>
      <c r="BT136" s="22"/>
      <c r="BU136" s="39"/>
      <c r="BV136" s="22"/>
      <c r="BW136" s="22"/>
      <c r="BX136" s="22"/>
      <c r="BY136" s="26"/>
      <c r="FU136" s="22"/>
    </row>
    <row r="137" spans="51:177" ht="18" customHeight="1" hidden="1">
      <c r="AY137" s="7">
        <f>IF(AZ137="","",AY136+1)</f>
      </c>
      <c r="BL137" s="22"/>
      <c r="BM137" s="22"/>
      <c r="BN137" s="22"/>
      <c r="BR137" s="22"/>
      <c r="BS137" s="26"/>
      <c r="BT137" s="22"/>
      <c r="BU137" s="39"/>
      <c r="BV137" s="22"/>
      <c r="BW137" s="22"/>
      <c r="BX137" s="22"/>
      <c r="BY137" s="26"/>
      <c r="FU137" s="43"/>
    </row>
    <row r="138" spans="51:177" ht="18" customHeight="1" hidden="1">
      <c r="AY138" s="7">
        <f t="shared" si="42"/>
      </c>
      <c r="BL138" s="22"/>
      <c r="BM138" s="22"/>
      <c r="BN138" s="22"/>
      <c r="BR138" s="22"/>
      <c r="BS138" s="26"/>
      <c r="BT138" s="22"/>
      <c r="BU138" s="39"/>
      <c r="BV138" s="22"/>
      <c r="BW138" s="22"/>
      <c r="BX138" s="22"/>
      <c r="BY138" s="26"/>
      <c r="FU138" s="22"/>
    </row>
    <row r="139" spans="51:177" ht="18" customHeight="1" hidden="1">
      <c r="AY139" s="7">
        <f t="shared" si="42"/>
      </c>
      <c r="BL139" s="22"/>
      <c r="BM139" s="22"/>
      <c r="BN139" s="22"/>
      <c r="BR139" s="22"/>
      <c r="BS139" s="26"/>
      <c r="BT139" s="22"/>
      <c r="BU139" s="39"/>
      <c r="BV139" s="22"/>
      <c r="BW139" s="22"/>
      <c r="BX139" s="22"/>
      <c r="BY139" s="26"/>
      <c r="FU139" s="22"/>
    </row>
    <row r="140" spans="51:177" ht="18" customHeight="1" hidden="1">
      <c r="AY140" s="7">
        <f t="shared" si="42"/>
      </c>
      <c r="BD140" s="60"/>
      <c r="BL140" s="22"/>
      <c r="BM140" s="22"/>
      <c r="BN140" s="22"/>
      <c r="BR140" s="22"/>
      <c r="BS140" s="26"/>
      <c r="BT140" s="22"/>
      <c r="BU140" s="39"/>
      <c r="BV140" s="22"/>
      <c r="BW140" s="22"/>
      <c r="BX140" s="22"/>
      <c r="BY140" s="26"/>
      <c r="FU140" s="22"/>
    </row>
    <row r="141" spans="51:177" ht="18" customHeight="1" hidden="1">
      <c r="AY141" s="7">
        <f t="shared" si="42"/>
      </c>
      <c r="BL141" s="22"/>
      <c r="BM141" s="22"/>
      <c r="BN141" s="22"/>
      <c r="BR141" s="22"/>
      <c r="BS141" s="26"/>
      <c r="BT141" s="22"/>
      <c r="BU141" s="39"/>
      <c r="BV141" s="22"/>
      <c r="BW141" s="22"/>
      <c r="BX141" s="22"/>
      <c r="BY141" s="26"/>
      <c r="FU141" s="43"/>
    </row>
    <row r="142" spans="51:177" ht="18" customHeight="1" hidden="1">
      <c r="AY142" s="7">
        <f t="shared" si="42"/>
      </c>
      <c r="BL142" s="22"/>
      <c r="BM142" s="22"/>
      <c r="BN142" s="22"/>
      <c r="BR142" s="22"/>
      <c r="BS142" s="26"/>
      <c r="BT142" s="22"/>
      <c r="BU142" s="39"/>
      <c r="BV142" s="22"/>
      <c r="BW142" s="22"/>
      <c r="BX142" s="22"/>
      <c r="BY142" s="26"/>
      <c r="FU142" s="22"/>
    </row>
    <row r="143" spans="51:177" ht="18" customHeight="1" hidden="1">
      <c r="AY143" s="7">
        <f t="shared" si="42"/>
      </c>
      <c r="AZ143" s="8"/>
      <c r="BA143" s="8"/>
      <c r="BB143" s="8"/>
      <c r="BC143" s="8"/>
      <c r="BD143" s="9"/>
      <c r="BE143" s="9"/>
      <c r="BF143" s="9"/>
      <c r="BG143" s="9"/>
      <c r="BH143" s="9"/>
      <c r="BI143" s="24"/>
      <c r="BJ143" s="24"/>
      <c r="BK143" s="10"/>
      <c r="BL143" s="22"/>
      <c r="BM143" s="22"/>
      <c r="BN143" s="22"/>
      <c r="BR143" s="22"/>
      <c r="BS143" s="26"/>
      <c r="BT143" s="22"/>
      <c r="BU143" s="39"/>
      <c r="BV143" s="22"/>
      <c r="BW143" s="22"/>
      <c r="BX143" s="22"/>
      <c r="BY143" s="26"/>
      <c r="FU143" s="22"/>
    </row>
    <row r="144" spans="51:177" ht="18" customHeight="1" hidden="1">
      <c r="AY144" s="7">
        <f t="shared" si="42"/>
      </c>
      <c r="BL144" s="22"/>
      <c r="BM144" s="22"/>
      <c r="BN144" s="22"/>
      <c r="BR144" s="22"/>
      <c r="BS144" s="26"/>
      <c r="BT144" s="22"/>
      <c r="BU144" s="39"/>
      <c r="BV144" s="22"/>
      <c r="BW144" s="22"/>
      <c r="BX144" s="22"/>
      <c r="BY144" s="26"/>
      <c r="FU144" s="22"/>
    </row>
    <row r="145" spans="51:177" ht="18" customHeight="1" hidden="1">
      <c r="AY145" s="7">
        <f t="shared" si="42"/>
      </c>
      <c r="BL145" s="22"/>
      <c r="BM145" s="22"/>
      <c r="BN145" s="22"/>
      <c r="BR145" s="22"/>
      <c r="BS145" s="26"/>
      <c r="BT145" s="22"/>
      <c r="BU145" s="39"/>
      <c r="BV145" s="22"/>
      <c r="BW145" s="22"/>
      <c r="BX145" s="22"/>
      <c r="BY145" s="26"/>
      <c r="FU145" s="22"/>
    </row>
    <row r="146" spans="51:177" ht="18" customHeight="1" hidden="1">
      <c r="AY146" s="7">
        <f t="shared" si="42"/>
      </c>
      <c r="BL146" s="22"/>
      <c r="BM146" s="22"/>
      <c r="BN146" s="22"/>
      <c r="BR146" s="22"/>
      <c r="BS146" s="26"/>
      <c r="BT146" s="22"/>
      <c r="BU146" s="39"/>
      <c r="BV146" s="22"/>
      <c r="BW146" s="22"/>
      <c r="BX146" s="22"/>
      <c r="BY146" s="26"/>
      <c r="FU146" s="43"/>
    </row>
    <row r="147" spans="51:177" ht="18" customHeight="1" hidden="1">
      <c r="AY147" s="7">
        <f t="shared" si="42"/>
      </c>
      <c r="BL147" s="22"/>
      <c r="BM147" s="22"/>
      <c r="BN147" s="22"/>
      <c r="BR147" s="22"/>
      <c r="BS147" s="26"/>
      <c r="BT147" s="22"/>
      <c r="BU147" s="39"/>
      <c r="BV147" s="22"/>
      <c r="BW147" s="22"/>
      <c r="BX147" s="22"/>
      <c r="BY147" s="26"/>
      <c r="FU147" s="10"/>
    </row>
    <row r="148" spans="51:177" ht="18" customHeight="1" hidden="1">
      <c r="AY148" s="7">
        <f t="shared" si="42"/>
      </c>
      <c r="AZ148" s="8"/>
      <c r="BA148" s="8"/>
      <c r="BB148" s="8"/>
      <c r="BC148" s="8"/>
      <c r="BD148" s="9"/>
      <c r="BE148" s="9"/>
      <c r="BF148" s="9"/>
      <c r="BG148" s="9"/>
      <c r="BH148" s="9"/>
      <c r="BI148" s="24"/>
      <c r="BJ148" s="24"/>
      <c r="BK148" s="10"/>
      <c r="BL148" s="22"/>
      <c r="BM148" s="22"/>
      <c r="BN148" s="22"/>
      <c r="BR148" s="22"/>
      <c r="BS148" s="26"/>
      <c r="BT148" s="22"/>
      <c r="BU148" s="39"/>
      <c r="BV148" s="22"/>
      <c r="BW148" s="22"/>
      <c r="BX148" s="22"/>
      <c r="BY148" s="26"/>
      <c r="FU148" s="10"/>
    </row>
    <row r="149" spans="51:177" ht="18" customHeight="1" hidden="1">
      <c r="AY149" s="7">
        <f t="shared" si="42"/>
      </c>
      <c r="BL149" s="22"/>
      <c r="BM149" s="22"/>
      <c r="BN149" s="22"/>
      <c r="BR149" s="22"/>
      <c r="BS149" s="26"/>
      <c r="BT149" s="22"/>
      <c r="BU149" s="39"/>
      <c r="BV149" s="22"/>
      <c r="BW149" s="22"/>
      <c r="BX149" s="22"/>
      <c r="BY149" s="26"/>
      <c r="FU149" s="10"/>
    </row>
    <row r="150" spans="51:177" ht="18" customHeight="1" hidden="1">
      <c r="AY150" s="7">
        <f t="shared" si="42"/>
      </c>
      <c r="BL150" s="22"/>
      <c r="BM150" s="22"/>
      <c r="BN150" s="22"/>
      <c r="BR150" s="22"/>
      <c r="BS150" s="26"/>
      <c r="BT150" s="22"/>
      <c r="BU150" s="39"/>
      <c r="BV150" s="22"/>
      <c r="BW150" s="22"/>
      <c r="BX150" s="22"/>
      <c r="BY150" s="26"/>
      <c r="FU150" s="10"/>
    </row>
    <row r="151" spans="51:177" ht="18" customHeight="1" hidden="1">
      <c r="AY151" s="7">
        <f t="shared" si="42"/>
      </c>
      <c r="BL151" s="22"/>
      <c r="BM151" s="22"/>
      <c r="BN151" s="22"/>
      <c r="BR151" s="22"/>
      <c r="BS151" s="26"/>
      <c r="BT151" s="22"/>
      <c r="BU151" s="39"/>
      <c r="BV151" s="22"/>
      <c r="BW151" s="22"/>
      <c r="BX151" s="22"/>
      <c r="BY151" s="26"/>
      <c r="FU151" s="10"/>
    </row>
    <row r="152" spans="51:177" ht="18" customHeight="1" hidden="1">
      <c r="AY152" s="7">
        <f t="shared" si="42"/>
      </c>
      <c r="BL152" s="22"/>
      <c r="BM152" s="22"/>
      <c r="BN152" s="22"/>
      <c r="BR152" s="22"/>
      <c r="BS152" s="26"/>
      <c r="BT152" s="22"/>
      <c r="BU152" s="39"/>
      <c r="BV152" s="22"/>
      <c r="BW152" s="22"/>
      <c r="BX152" s="22"/>
      <c r="BY152" s="26"/>
      <c r="FU152" s="43"/>
    </row>
    <row r="153" spans="51:177" ht="18" customHeight="1" hidden="1">
      <c r="AY153" s="7">
        <f t="shared" si="42"/>
      </c>
      <c r="BL153" s="22"/>
      <c r="BM153" s="22"/>
      <c r="BN153" s="22"/>
      <c r="BR153" s="22"/>
      <c r="BS153" s="26"/>
      <c r="BT153" s="22"/>
      <c r="BU153" s="39"/>
      <c r="BV153" s="22"/>
      <c r="BW153" s="22"/>
      <c r="BX153" s="22"/>
      <c r="BY153" s="26"/>
      <c r="FU153" s="22"/>
    </row>
    <row r="154" spans="51:177" ht="18" customHeight="1" hidden="1">
      <c r="AY154" s="7">
        <f t="shared" si="42"/>
      </c>
      <c r="BL154" s="22"/>
      <c r="BM154" s="22"/>
      <c r="BN154" s="22"/>
      <c r="BR154" s="22"/>
      <c r="BS154" s="26"/>
      <c r="BT154" s="22"/>
      <c r="BU154" s="39"/>
      <c r="BV154" s="22"/>
      <c r="BW154" s="22"/>
      <c r="BX154" s="22"/>
      <c r="BY154" s="26"/>
      <c r="FU154" s="22"/>
    </row>
    <row r="155" spans="51:177" ht="18" customHeight="1" hidden="1">
      <c r="AY155" s="7">
        <f t="shared" si="42"/>
      </c>
      <c r="AZ155" s="8"/>
      <c r="BA155" s="8"/>
      <c r="BB155" s="8"/>
      <c r="BC155" s="8"/>
      <c r="BD155" s="9"/>
      <c r="BE155" s="9"/>
      <c r="BF155" s="9"/>
      <c r="BG155" s="9"/>
      <c r="BH155" s="9"/>
      <c r="BI155" s="24"/>
      <c r="BJ155" s="24"/>
      <c r="BK155" s="10"/>
      <c r="BL155" s="22"/>
      <c r="BM155" s="22"/>
      <c r="BN155" s="22"/>
      <c r="BR155" s="22"/>
      <c r="BS155" s="26"/>
      <c r="BT155" s="22"/>
      <c r="BU155" s="39"/>
      <c r="BV155" s="22"/>
      <c r="BW155" s="22"/>
      <c r="BX155" s="22"/>
      <c r="BY155" s="26"/>
      <c r="FU155" s="22"/>
    </row>
    <row r="156" spans="51:177" ht="18" customHeight="1" hidden="1">
      <c r="AY156" s="7">
        <f t="shared" si="42"/>
      </c>
      <c r="AZ156" s="8"/>
      <c r="BA156" s="8"/>
      <c r="BB156" s="8"/>
      <c r="BC156" s="8"/>
      <c r="BD156" s="9"/>
      <c r="BE156" s="9"/>
      <c r="BF156" s="9"/>
      <c r="BG156" s="9"/>
      <c r="BH156" s="9"/>
      <c r="BI156" s="24"/>
      <c r="BJ156" s="24"/>
      <c r="BK156" s="10"/>
      <c r="BL156" s="22"/>
      <c r="BM156" s="22"/>
      <c r="BN156" s="22"/>
      <c r="BR156" s="22"/>
      <c r="BS156" s="26"/>
      <c r="BT156" s="22"/>
      <c r="BU156" s="39"/>
      <c r="BV156" s="22"/>
      <c r="BW156" s="22"/>
      <c r="BX156" s="22"/>
      <c r="BY156" s="26"/>
      <c r="FU156" s="22"/>
    </row>
    <row r="157" spans="51:177" ht="18" customHeight="1" hidden="1">
      <c r="AY157" s="7">
        <f t="shared" si="42"/>
      </c>
      <c r="BL157" s="22"/>
      <c r="BM157" s="22"/>
      <c r="BN157" s="22"/>
      <c r="BR157" s="22"/>
      <c r="BS157" s="26"/>
      <c r="BT157" s="22"/>
      <c r="BU157" s="39"/>
      <c r="BV157" s="22"/>
      <c r="BW157" s="22"/>
      <c r="BX157" s="22"/>
      <c r="BY157" s="26"/>
      <c r="FU157" s="22"/>
    </row>
    <row r="158" spans="51:177" ht="18" customHeight="1" hidden="1">
      <c r="AY158" s="7">
        <f t="shared" si="42"/>
      </c>
      <c r="BL158" s="22"/>
      <c r="BM158" s="22"/>
      <c r="BN158" s="22"/>
      <c r="BR158" s="22"/>
      <c r="BS158" s="26"/>
      <c r="BT158" s="22"/>
      <c r="BU158" s="39"/>
      <c r="BV158" s="22"/>
      <c r="BW158" s="22"/>
      <c r="BX158" s="22"/>
      <c r="BY158" s="26"/>
      <c r="FU158" s="43"/>
    </row>
    <row r="159" spans="51:177" ht="18" customHeight="1" hidden="1">
      <c r="AY159" s="7">
        <f t="shared" si="42"/>
      </c>
      <c r="AZ159" s="8"/>
      <c r="BA159" s="8"/>
      <c r="BB159" s="8"/>
      <c r="BC159" s="8"/>
      <c r="BD159" s="9"/>
      <c r="BE159" s="9"/>
      <c r="BF159" s="9"/>
      <c r="BG159" s="9"/>
      <c r="BH159" s="9"/>
      <c r="BI159" s="24"/>
      <c r="BJ159" s="24"/>
      <c r="BK159" s="10"/>
      <c r="BL159" s="22"/>
      <c r="BM159" s="22"/>
      <c r="BN159" s="22"/>
      <c r="BR159" s="22"/>
      <c r="BS159" s="26"/>
      <c r="BT159" s="22"/>
      <c r="BU159" s="39"/>
      <c r="BV159" s="22"/>
      <c r="BW159" s="22"/>
      <c r="BX159" s="22"/>
      <c r="BY159" s="26"/>
      <c r="FU159" s="22"/>
    </row>
    <row r="160" spans="51:177" ht="18" customHeight="1" hidden="1">
      <c r="AY160" s="7">
        <f t="shared" si="42"/>
      </c>
      <c r="BL160" s="22"/>
      <c r="BM160" s="22"/>
      <c r="BN160" s="22"/>
      <c r="BR160" s="22"/>
      <c r="BS160" s="26"/>
      <c r="BT160" s="22"/>
      <c r="BU160" s="39"/>
      <c r="BV160" s="22"/>
      <c r="BW160" s="22"/>
      <c r="BX160" s="22"/>
      <c r="BY160" s="26"/>
      <c r="FU160" s="22"/>
    </row>
    <row r="161" spans="51:177" ht="18" customHeight="1" hidden="1">
      <c r="AY161" s="7">
        <f t="shared" si="42"/>
      </c>
      <c r="BL161" s="22"/>
      <c r="BM161" s="22"/>
      <c r="BN161" s="22"/>
      <c r="BR161" s="22"/>
      <c r="BS161" s="26"/>
      <c r="BT161" s="22"/>
      <c r="BU161" s="39"/>
      <c r="BV161" s="22"/>
      <c r="BW161" s="22"/>
      <c r="BX161" s="22"/>
      <c r="BY161" s="26"/>
      <c r="FU161" s="22"/>
    </row>
    <row r="162" spans="51:177" ht="18" customHeight="1" hidden="1">
      <c r="AY162" s="7">
        <f t="shared" si="42"/>
      </c>
      <c r="BL162" s="22"/>
      <c r="BM162" s="22"/>
      <c r="BN162" s="22"/>
      <c r="BR162" s="22"/>
      <c r="BS162" s="26"/>
      <c r="BT162" s="22"/>
      <c r="BU162" s="39"/>
      <c r="BV162" s="22"/>
      <c r="BW162" s="22"/>
      <c r="BX162" s="22"/>
      <c r="BY162" s="26"/>
      <c r="FU162" s="22"/>
    </row>
    <row r="163" spans="51:177" ht="18" customHeight="1" hidden="1">
      <c r="AY163" s="7">
        <f t="shared" si="42"/>
      </c>
      <c r="BL163" s="22"/>
      <c r="BM163" s="22"/>
      <c r="BN163" s="22"/>
      <c r="BR163" s="22"/>
      <c r="BS163" s="26"/>
      <c r="BT163" s="22"/>
      <c r="BU163" s="39"/>
      <c r="BV163" s="22"/>
      <c r="BW163" s="22"/>
      <c r="BX163" s="22"/>
      <c r="BY163" s="26"/>
      <c r="FU163" s="43"/>
    </row>
    <row r="164" spans="51:177" ht="18" customHeight="1" hidden="1">
      <c r="AY164" s="7">
        <f t="shared" si="42"/>
      </c>
      <c r="BL164" s="22"/>
      <c r="BM164" s="22"/>
      <c r="BN164" s="22"/>
      <c r="BR164" s="22"/>
      <c r="BS164" s="26"/>
      <c r="BT164" s="22"/>
      <c r="BU164" s="39"/>
      <c r="BV164" s="22"/>
      <c r="BW164" s="22"/>
      <c r="BX164" s="22"/>
      <c r="BY164" s="26"/>
      <c r="FU164" s="10"/>
    </row>
    <row r="165" spans="51:177" ht="18" customHeight="1" hidden="1">
      <c r="AY165" s="7">
        <f t="shared" si="42"/>
      </c>
      <c r="BL165" s="22"/>
      <c r="BM165" s="22"/>
      <c r="BN165" s="22"/>
      <c r="BR165" s="22"/>
      <c r="BS165" s="26"/>
      <c r="BT165" s="22"/>
      <c r="BU165" s="39"/>
      <c r="BV165" s="22"/>
      <c r="BW165" s="22"/>
      <c r="BX165" s="22"/>
      <c r="BY165" s="26"/>
      <c r="FU165" s="10"/>
    </row>
    <row r="166" spans="51:177" ht="18" customHeight="1" hidden="1">
      <c r="AY166" s="7">
        <f t="shared" si="42"/>
      </c>
      <c r="AZ166" s="8"/>
      <c r="BA166" s="8"/>
      <c r="BB166" s="8"/>
      <c r="BC166" s="8"/>
      <c r="BD166" s="9"/>
      <c r="BE166" s="9"/>
      <c r="BF166" s="9"/>
      <c r="BG166" s="9"/>
      <c r="BH166" s="9"/>
      <c r="BI166" s="24"/>
      <c r="BJ166" s="24"/>
      <c r="BK166" s="10"/>
      <c r="BL166" s="22"/>
      <c r="BM166" s="22"/>
      <c r="BN166" s="22"/>
      <c r="BR166" s="22"/>
      <c r="BS166" s="26"/>
      <c r="BT166" s="22"/>
      <c r="BU166" s="39"/>
      <c r="BV166" s="22"/>
      <c r="BW166" s="22"/>
      <c r="BX166" s="22"/>
      <c r="BY166" s="26"/>
      <c r="FU166" s="10"/>
    </row>
    <row r="167" spans="51:177" ht="18" customHeight="1" hidden="1">
      <c r="AY167" s="7">
        <f t="shared" si="42"/>
      </c>
      <c r="BL167" s="22"/>
      <c r="BM167" s="22"/>
      <c r="BN167" s="22"/>
      <c r="BR167" s="22"/>
      <c r="BS167" s="26"/>
      <c r="BT167" s="22"/>
      <c r="BU167" s="39"/>
      <c r="BV167" s="22"/>
      <c r="BW167" s="22"/>
      <c r="BX167" s="22"/>
      <c r="BY167" s="26"/>
      <c r="FU167" s="10"/>
    </row>
    <row r="168" spans="51:177" ht="18" customHeight="1" hidden="1">
      <c r="AY168" s="7">
        <f t="shared" si="42"/>
      </c>
      <c r="BL168" s="22"/>
      <c r="BM168" s="22"/>
      <c r="BN168" s="22"/>
      <c r="BR168" s="22"/>
      <c r="BS168" s="26"/>
      <c r="BT168" s="22"/>
      <c r="BU168" s="39"/>
      <c r="BV168" s="22"/>
      <c r="BW168" s="22"/>
      <c r="BX168" s="22"/>
      <c r="BY168" s="26"/>
      <c r="FU168" s="10"/>
    </row>
    <row r="169" spans="51:177" ht="18" customHeight="1" hidden="1">
      <c r="AY169" s="7">
        <f t="shared" si="42"/>
      </c>
      <c r="BL169" s="22"/>
      <c r="BM169" s="22"/>
      <c r="BN169" s="22"/>
      <c r="BR169" s="22"/>
      <c r="BS169" s="26"/>
      <c r="BT169" s="22"/>
      <c r="BU169" s="39"/>
      <c r="BV169" s="22"/>
      <c r="BW169" s="22"/>
      <c r="BX169" s="22"/>
      <c r="BY169" s="26"/>
      <c r="FU169" s="10"/>
    </row>
    <row r="170" spans="51:177" ht="18" customHeight="1" hidden="1">
      <c r="AY170" s="7">
        <f t="shared" si="42"/>
      </c>
      <c r="BL170" s="22"/>
      <c r="BM170" s="22"/>
      <c r="BN170" s="22"/>
      <c r="BR170" s="22"/>
      <c r="BS170" s="26"/>
      <c r="BT170" s="22"/>
      <c r="BU170" s="39"/>
      <c r="BV170" s="22"/>
      <c r="BW170" s="22"/>
      <c r="BX170" s="22"/>
      <c r="BY170" s="26"/>
      <c r="FU170" s="43"/>
    </row>
    <row r="171" spans="51:177" ht="18" customHeight="1" hidden="1">
      <c r="AY171" s="7">
        <f t="shared" si="42"/>
      </c>
      <c r="BL171" s="22"/>
      <c r="BM171" s="22"/>
      <c r="BN171" s="22"/>
      <c r="BR171" s="22"/>
      <c r="BS171" s="26"/>
      <c r="BT171" s="22"/>
      <c r="BU171" s="39"/>
      <c r="BV171" s="22"/>
      <c r="BW171" s="22"/>
      <c r="BX171" s="22"/>
      <c r="BY171" s="26"/>
      <c r="FU171" s="10"/>
    </row>
    <row r="172" spans="51:177" ht="18" customHeight="1" hidden="1">
      <c r="AY172" s="7">
        <f t="shared" si="42"/>
      </c>
      <c r="BL172" s="22"/>
      <c r="BM172" s="22"/>
      <c r="BN172" s="22"/>
      <c r="BR172" s="22"/>
      <c r="BS172" s="26"/>
      <c r="BT172" s="22"/>
      <c r="BU172" s="39"/>
      <c r="BV172" s="22"/>
      <c r="BW172" s="22"/>
      <c r="BX172" s="22"/>
      <c r="BY172" s="26"/>
      <c r="FU172" s="10"/>
    </row>
    <row r="173" spans="51:177" ht="18" customHeight="1" hidden="1">
      <c r="AY173" s="7">
        <f>IF(AZ173="","",AY172+1)</f>
      </c>
      <c r="AZ173" s="8"/>
      <c r="BA173" s="8"/>
      <c r="BB173" s="8"/>
      <c r="BC173" s="8"/>
      <c r="BD173" s="9"/>
      <c r="BE173" s="9"/>
      <c r="BF173" s="9"/>
      <c r="BG173" s="9"/>
      <c r="BH173" s="9"/>
      <c r="BI173" s="24"/>
      <c r="BJ173" s="24"/>
      <c r="BK173" s="10"/>
      <c r="BL173" s="22"/>
      <c r="BM173" s="22"/>
      <c r="BN173" s="22"/>
      <c r="BR173" s="22"/>
      <c r="BS173" s="26"/>
      <c r="BT173" s="22"/>
      <c r="BU173" s="39"/>
      <c r="BV173" s="22"/>
      <c r="BW173" s="22"/>
      <c r="BX173" s="22"/>
      <c r="BY173" s="26"/>
      <c r="FU173" s="43"/>
    </row>
    <row r="174" spans="51:177" ht="18" customHeight="1" hidden="1">
      <c r="AY174" s="7">
        <f aca="true" t="shared" si="43" ref="AY174:AY193">IF(AZ174="","",AY173+1)</f>
      </c>
      <c r="AZ174" s="8"/>
      <c r="BA174" s="8"/>
      <c r="BB174" s="8"/>
      <c r="BC174" s="8"/>
      <c r="BD174" s="9"/>
      <c r="BE174" s="9"/>
      <c r="BF174" s="9"/>
      <c r="BG174" s="9"/>
      <c r="BH174" s="9"/>
      <c r="BI174" s="24"/>
      <c r="BJ174" s="24"/>
      <c r="BK174" s="10"/>
      <c r="BL174" s="22"/>
      <c r="BM174" s="22"/>
      <c r="BN174" s="22"/>
      <c r="BR174" s="22"/>
      <c r="BS174" s="26"/>
      <c r="BT174" s="22"/>
      <c r="BU174" s="39"/>
      <c r="BV174" s="22"/>
      <c r="BW174" s="22"/>
      <c r="BX174" s="22"/>
      <c r="BY174" s="26"/>
      <c r="FU174" s="10"/>
    </row>
    <row r="175" spans="51:177" ht="18" customHeight="1" hidden="1">
      <c r="AY175" s="7">
        <f t="shared" si="43"/>
      </c>
      <c r="AZ175" s="8"/>
      <c r="BA175" s="8"/>
      <c r="BB175" s="8"/>
      <c r="BC175" s="8"/>
      <c r="BD175" s="9"/>
      <c r="BE175" s="9"/>
      <c r="BF175" s="9"/>
      <c r="BG175" s="9"/>
      <c r="BH175" s="9"/>
      <c r="BI175" s="24"/>
      <c r="BJ175" s="24"/>
      <c r="BK175" s="10"/>
      <c r="BL175" s="22"/>
      <c r="BM175" s="22"/>
      <c r="BN175" s="22"/>
      <c r="BR175" s="22"/>
      <c r="BS175" s="26"/>
      <c r="BT175" s="22"/>
      <c r="BU175" s="39"/>
      <c r="BV175" s="22"/>
      <c r="BW175" s="22"/>
      <c r="BX175" s="22"/>
      <c r="BY175" s="26"/>
      <c r="FU175" s="10"/>
    </row>
    <row r="176" spans="51:177" ht="18" customHeight="1" hidden="1">
      <c r="AY176" s="7">
        <f t="shared" si="43"/>
      </c>
      <c r="BL176" s="22"/>
      <c r="BM176" s="22"/>
      <c r="BN176" s="22"/>
      <c r="BR176" s="22"/>
      <c r="BS176" s="26"/>
      <c r="BT176" s="22"/>
      <c r="BU176" s="39"/>
      <c r="BV176" s="22"/>
      <c r="BW176" s="22"/>
      <c r="BX176" s="22"/>
      <c r="BY176" s="26"/>
      <c r="FU176" s="10"/>
    </row>
    <row r="177" spans="51:177" ht="18" customHeight="1" hidden="1">
      <c r="AY177" s="7">
        <f t="shared" si="43"/>
      </c>
      <c r="BL177" s="22"/>
      <c r="BM177" s="22"/>
      <c r="BN177" s="22"/>
      <c r="BR177" s="22"/>
      <c r="BS177" s="26"/>
      <c r="BT177" s="22"/>
      <c r="BU177" s="39"/>
      <c r="BV177" s="22"/>
      <c r="BW177" s="22"/>
      <c r="BX177" s="22"/>
      <c r="BY177" s="26"/>
      <c r="FU177" s="10"/>
    </row>
    <row r="178" spans="51:177" ht="18" customHeight="1" hidden="1">
      <c r="AY178" s="7">
        <f t="shared" si="43"/>
      </c>
      <c r="BL178" s="22"/>
      <c r="BM178" s="22"/>
      <c r="BN178" s="22"/>
      <c r="BR178" s="22"/>
      <c r="BS178" s="26"/>
      <c r="BT178" s="22"/>
      <c r="BU178" s="39"/>
      <c r="BV178" s="22"/>
      <c r="BW178" s="22"/>
      <c r="BX178" s="22"/>
      <c r="BY178" s="26"/>
      <c r="FU178" s="43"/>
    </row>
    <row r="179" spans="51:177" ht="18" customHeight="1" hidden="1">
      <c r="AY179" s="7">
        <f t="shared" si="43"/>
      </c>
      <c r="BL179" s="22"/>
      <c r="BM179" s="22"/>
      <c r="BN179" s="22"/>
      <c r="BR179" s="22"/>
      <c r="BS179" s="26"/>
      <c r="BT179" s="22"/>
      <c r="BU179" s="39"/>
      <c r="BV179" s="22"/>
      <c r="BW179" s="22"/>
      <c r="BX179" s="22"/>
      <c r="BY179" s="26"/>
      <c r="FU179" s="10"/>
    </row>
    <row r="180" spans="51:177" ht="18" customHeight="1" hidden="1">
      <c r="AY180" s="7">
        <f t="shared" si="43"/>
      </c>
      <c r="AZ180" s="8"/>
      <c r="BA180" s="8"/>
      <c r="BB180" s="8"/>
      <c r="BC180" s="8"/>
      <c r="BD180" s="9"/>
      <c r="BE180" s="9"/>
      <c r="BF180" s="9"/>
      <c r="BG180" s="9"/>
      <c r="BH180" s="9"/>
      <c r="BI180" s="24"/>
      <c r="BJ180" s="24"/>
      <c r="BK180" s="10"/>
      <c r="BL180" s="22"/>
      <c r="BM180" s="22"/>
      <c r="BN180" s="22"/>
      <c r="BR180" s="22"/>
      <c r="BS180" s="26"/>
      <c r="BT180" s="22"/>
      <c r="BU180" s="39"/>
      <c r="BV180" s="22"/>
      <c r="BW180" s="22"/>
      <c r="BX180" s="22"/>
      <c r="BY180" s="26"/>
      <c r="FU180" s="10"/>
    </row>
    <row r="181" spans="51:177" ht="18" customHeight="1" hidden="1">
      <c r="AY181" s="7">
        <f t="shared" si="43"/>
      </c>
      <c r="BL181" s="22"/>
      <c r="BM181" s="22"/>
      <c r="BN181" s="22"/>
      <c r="BR181" s="22"/>
      <c r="BS181" s="26"/>
      <c r="BT181" s="22"/>
      <c r="BU181" s="39"/>
      <c r="BV181" s="22"/>
      <c r="BW181" s="22"/>
      <c r="BX181" s="22"/>
      <c r="BY181" s="26"/>
      <c r="FU181" s="10"/>
    </row>
    <row r="182" spans="51:177" ht="18" customHeight="1" hidden="1">
      <c r="AY182" s="7">
        <f t="shared" si="43"/>
      </c>
      <c r="AZ182" s="8"/>
      <c r="BA182" s="8"/>
      <c r="BB182" s="8"/>
      <c r="BC182" s="8"/>
      <c r="BD182" s="9"/>
      <c r="BE182" s="9"/>
      <c r="BF182" s="9"/>
      <c r="BG182" s="9"/>
      <c r="BH182" s="9"/>
      <c r="BI182" s="24"/>
      <c r="BJ182" s="24"/>
      <c r="BK182" s="10"/>
      <c r="BL182" s="22"/>
      <c r="BM182" s="22"/>
      <c r="BN182" s="22"/>
      <c r="BR182" s="22"/>
      <c r="BS182" s="26"/>
      <c r="BT182" s="22"/>
      <c r="BU182" s="39"/>
      <c r="BV182" s="22"/>
      <c r="BW182" s="22"/>
      <c r="BX182" s="22"/>
      <c r="BY182" s="26"/>
      <c r="FU182" s="10"/>
    </row>
    <row r="183" spans="51:177" ht="18" customHeight="1" hidden="1">
      <c r="AY183" s="7">
        <f t="shared" si="43"/>
      </c>
      <c r="BL183" s="22"/>
      <c r="BM183" s="22"/>
      <c r="BN183" s="22"/>
      <c r="BR183" s="22"/>
      <c r="BS183" s="26"/>
      <c r="BT183" s="22"/>
      <c r="BU183" s="39"/>
      <c r="BV183" s="22"/>
      <c r="BW183" s="22"/>
      <c r="BX183" s="22"/>
      <c r="BY183" s="26"/>
      <c r="FU183" s="10"/>
    </row>
    <row r="184" spans="51:177" ht="18" customHeight="1" hidden="1">
      <c r="AY184" s="7">
        <f t="shared" si="43"/>
      </c>
      <c r="BL184" s="22"/>
      <c r="BM184" s="22"/>
      <c r="BN184" s="22"/>
      <c r="BR184" s="22"/>
      <c r="BS184" s="26"/>
      <c r="BT184" s="22"/>
      <c r="BU184" s="39"/>
      <c r="BV184" s="22"/>
      <c r="BW184" s="22"/>
      <c r="BX184" s="22"/>
      <c r="BY184" s="26"/>
      <c r="FU184" s="43"/>
    </row>
    <row r="185" spans="51:177" ht="18" customHeight="1" hidden="1">
      <c r="AY185" s="7">
        <f t="shared" si="43"/>
      </c>
      <c r="BL185" s="22"/>
      <c r="BM185" s="22"/>
      <c r="BN185" s="22"/>
      <c r="BR185" s="22"/>
      <c r="BS185" s="26"/>
      <c r="BT185" s="22"/>
      <c r="BU185" s="39"/>
      <c r="BV185" s="22"/>
      <c r="BW185" s="22"/>
      <c r="BX185" s="22"/>
      <c r="BY185" s="26"/>
      <c r="FU185" s="22"/>
    </row>
    <row r="186" spans="51:177" ht="18" customHeight="1" hidden="1">
      <c r="AY186" s="7">
        <f t="shared" si="43"/>
      </c>
      <c r="BL186" s="22"/>
      <c r="BM186" s="22"/>
      <c r="BN186" s="22"/>
      <c r="BR186" s="22"/>
      <c r="BS186" s="26"/>
      <c r="BT186" s="22"/>
      <c r="BU186" s="39"/>
      <c r="BV186" s="22"/>
      <c r="BW186" s="22"/>
      <c r="BX186" s="22"/>
      <c r="BY186" s="26"/>
      <c r="FU186" s="22"/>
    </row>
    <row r="187" spans="51:177" ht="18" customHeight="1" hidden="1">
      <c r="AY187" s="7">
        <f t="shared" si="43"/>
      </c>
      <c r="BL187" s="22"/>
      <c r="BM187" s="22"/>
      <c r="BN187" s="22"/>
      <c r="BR187" s="22"/>
      <c r="BS187" s="26"/>
      <c r="BT187" s="22"/>
      <c r="BU187" s="39"/>
      <c r="BV187" s="22"/>
      <c r="BW187" s="22"/>
      <c r="BX187" s="22"/>
      <c r="BY187" s="26"/>
      <c r="FU187" s="22"/>
    </row>
    <row r="188" spans="51:177" ht="18" customHeight="1" hidden="1">
      <c r="AY188" s="7">
        <f t="shared" si="43"/>
      </c>
      <c r="BL188" s="22"/>
      <c r="BM188" s="22"/>
      <c r="BN188" s="22"/>
      <c r="BR188" s="22"/>
      <c r="BS188" s="26"/>
      <c r="BT188" s="22"/>
      <c r="BU188" s="39"/>
      <c r="BV188" s="22"/>
      <c r="BW188" s="22"/>
      <c r="BX188" s="22"/>
      <c r="BY188" s="26"/>
      <c r="FU188" s="22"/>
    </row>
    <row r="189" spans="51:177" ht="18" customHeight="1" hidden="1">
      <c r="AY189" s="7">
        <f t="shared" si="43"/>
      </c>
      <c r="AZ189" s="8"/>
      <c r="BA189" s="8"/>
      <c r="BB189" s="8"/>
      <c r="BC189" s="8"/>
      <c r="BD189" s="9"/>
      <c r="BE189" s="9"/>
      <c r="BF189" s="9"/>
      <c r="BG189" s="9"/>
      <c r="BH189" s="9"/>
      <c r="BI189" s="24"/>
      <c r="BJ189" s="24"/>
      <c r="BK189" s="10"/>
      <c r="BL189" s="22"/>
      <c r="BM189" s="22"/>
      <c r="BN189" s="22"/>
      <c r="BR189" s="22"/>
      <c r="BS189" s="26"/>
      <c r="BT189" s="22"/>
      <c r="BU189" s="39"/>
      <c r="BV189" s="22"/>
      <c r="BW189" s="22"/>
      <c r="BX189" s="22"/>
      <c r="BY189" s="26"/>
      <c r="FU189" s="43"/>
    </row>
    <row r="190" spans="51:177" ht="18" customHeight="1" hidden="1">
      <c r="AY190" s="7">
        <f t="shared" si="43"/>
      </c>
      <c r="BL190" s="22"/>
      <c r="BM190" s="22"/>
      <c r="BN190" s="22"/>
      <c r="BR190" s="22"/>
      <c r="BS190" s="26"/>
      <c r="BT190" s="22"/>
      <c r="BU190" s="39"/>
      <c r="BV190" s="22"/>
      <c r="BW190" s="22"/>
      <c r="BX190" s="22"/>
      <c r="BY190" s="26"/>
      <c r="FU190" s="10"/>
    </row>
    <row r="191" spans="51:177" ht="18" customHeight="1" hidden="1">
      <c r="AY191" s="7">
        <f t="shared" si="43"/>
      </c>
      <c r="BL191" s="22"/>
      <c r="BM191" s="22"/>
      <c r="BN191" s="22"/>
      <c r="BR191" s="22"/>
      <c r="BS191" s="26"/>
      <c r="BT191" s="22"/>
      <c r="BU191" s="39"/>
      <c r="BV191" s="22"/>
      <c r="BW191" s="22"/>
      <c r="BX191" s="22"/>
      <c r="BY191" s="26"/>
      <c r="FU191" s="10"/>
    </row>
    <row r="192" spans="51:177" ht="18" customHeight="1" hidden="1">
      <c r="AY192" s="7">
        <f t="shared" si="43"/>
      </c>
      <c r="BL192" s="22"/>
      <c r="BM192" s="22"/>
      <c r="BN192" s="22"/>
      <c r="BR192" s="22"/>
      <c r="BS192" s="26"/>
      <c r="BT192" s="22"/>
      <c r="BU192" s="39"/>
      <c r="BV192" s="22"/>
      <c r="BW192" s="22"/>
      <c r="BX192" s="22"/>
      <c r="BY192" s="26"/>
      <c r="FU192" s="10"/>
    </row>
    <row r="193" spans="51:177" ht="18" customHeight="1" hidden="1">
      <c r="AY193" s="7">
        <f t="shared" si="43"/>
      </c>
      <c r="BL193" s="22"/>
      <c r="BM193" s="22"/>
      <c r="BN193" s="22"/>
      <c r="BR193" s="22"/>
      <c r="BS193" s="26"/>
      <c r="BT193" s="22"/>
      <c r="BU193" s="39"/>
      <c r="BV193" s="22"/>
      <c r="BW193" s="22"/>
      <c r="BX193" s="22"/>
      <c r="BY193" s="26"/>
      <c r="FU193" s="43"/>
    </row>
    <row r="194" spans="64:177" ht="18" customHeight="1" hidden="1">
      <c r="BL194" s="22"/>
      <c r="BM194" s="22"/>
      <c r="BN194" s="22"/>
      <c r="BR194" s="22"/>
      <c r="BS194" s="26"/>
      <c r="BT194" s="22"/>
      <c r="BU194" s="39"/>
      <c r="BV194" s="22"/>
      <c r="BW194" s="22"/>
      <c r="BX194" s="22"/>
      <c r="BY194" s="26"/>
      <c r="FU194" s="22"/>
    </row>
    <row r="195" spans="64:177" ht="18" customHeight="1" hidden="1">
      <c r="BL195" s="22"/>
      <c r="BM195" s="22"/>
      <c r="BN195" s="22"/>
      <c r="BR195" s="22"/>
      <c r="BS195" s="26"/>
      <c r="BT195" s="22"/>
      <c r="BU195" s="39"/>
      <c r="BV195" s="22"/>
      <c r="BW195" s="22"/>
      <c r="BX195" s="22"/>
      <c r="BY195" s="26"/>
      <c r="FU195" s="22"/>
    </row>
    <row r="196" spans="64:177" ht="18" customHeight="1" hidden="1">
      <c r="BL196" s="22"/>
      <c r="BM196" s="22"/>
      <c r="BN196" s="22"/>
      <c r="BR196" s="22"/>
      <c r="BS196" s="26"/>
      <c r="BT196" s="22"/>
      <c r="BU196" s="39"/>
      <c r="BV196" s="22"/>
      <c r="BW196" s="22"/>
      <c r="BX196" s="22"/>
      <c r="BY196" s="26"/>
      <c r="FU196" s="22"/>
    </row>
    <row r="197" spans="64:177" ht="18" customHeight="1" hidden="1">
      <c r="BL197" s="22"/>
      <c r="BM197" s="22"/>
      <c r="BN197" s="22"/>
      <c r="BR197" s="22"/>
      <c r="BS197" s="26"/>
      <c r="BT197" s="22"/>
      <c r="BU197" s="39"/>
      <c r="BV197" s="22"/>
      <c r="BW197" s="22"/>
      <c r="BX197" s="22"/>
      <c r="BY197" s="26"/>
      <c r="FU197" s="22"/>
    </row>
    <row r="198" spans="64:177" ht="9.75" customHeight="1" hidden="1">
      <c r="BL198" s="22"/>
      <c r="BM198" s="22"/>
      <c r="BN198" s="22"/>
      <c r="BR198" s="22"/>
      <c r="BS198" s="26"/>
      <c r="BT198" s="22"/>
      <c r="BU198" s="39"/>
      <c r="BV198" s="22"/>
      <c r="BW198" s="22"/>
      <c r="BX198" s="22"/>
      <c r="BY198" s="26"/>
      <c r="FU198" s="22"/>
    </row>
    <row r="199" spans="64:177" ht="9.75" customHeight="1" hidden="1">
      <c r="BL199" s="22"/>
      <c r="BM199" s="22"/>
      <c r="BN199" s="22"/>
      <c r="BR199" s="22"/>
      <c r="BS199" s="26"/>
      <c r="BT199" s="22"/>
      <c r="BU199" s="39"/>
      <c r="BV199" s="22"/>
      <c r="BW199" s="22"/>
      <c r="BX199" s="22"/>
      <c r="BY199" s="26"/>
      <c r="FU199" s="43"/>
    </row>
    <row r="200" ht="9.75" customHeight="1" hidden="1">
      <c r="FU200" s="22"/>
    </row>
    <row r="201" ht="9.75" customHeight="1" hidden="1">
      <c r="FU201" s="22"/>
    </row>
    <row r="202" ht="9.75" customHeight="1" hidden="1">
      <c r="FU202" s="22"/>
    </row>
    <row r="203" ht="9.75" customHeight="1" hidden="1">
      <c r="FU203" s="22"/>
    </row>
    <row r="204" ht="9.75" customHeight="1" hidden="1">
      <c r="FU204" s="22"/>
    </row>
    <row r="205" ht="9.75" customHeight="1" hidden="1">
      <c r="FU205" s="10"/>
    </row>
    <row r="206" ht="9.75" customHeight="1" hidden="1">
      <c r="FU206" s="43"/>
    </row>
    <row r="207" ht="9.75" customHeight="1" hidden="1">
      <c r="FU207" s="22"/>
    </row>
    <row r="208" ht="9.75" customHeight="1" hidden="1">
      <c r="FU208" s="22"/>
    </row>
    <row r="209" ht="9.75" customHeight="1" hidden="1">
      <c r="FU209" s="22"/>
    </row>
    <row r="210" ht="9.75" customHeight="1" hidden="1">
      <c r="FU210" s="22"/>
    </row>
    <row r="211" ht="9.75" customHeight="1" hidden="1">
      <c r="FU211" s="43"/>
    </row>
    <row r="212" ht="9.75" customHeight="1" hidden="1">
      <c r="FU212" s="10"/>
    </row>
    <row r="213" ht="9.75" customHeight="1" hidden="1">
      <c r="FU213" s="10"/>
    </row>
    <row r="214" ht="9.75" customHeight="1" hidden="1">
      <c r="FU214" s="43"/>
    </row>
    <row r="215" ht="9.75" customHeight="1" hidden="1">
      <c r="FU215" s="10"/>
    </row>
    <row r="216" ht="9.75" customHeight="1" hidden="1">
      <c r="FU216" s="10"/>
    </row>
    <row r="217" ht="9.75" customHeight="1" hidden="1">
      <c r="FU217" s="10"/>
    </row>
    <row r="218" ht="9.75" customHeight="1" hidden="1">
      <c r="FU218" s="10"/>
    </row>
    <row r="219" ht="9.75" customHeight="1" hidden="1">
      <c r="FU219" s="10"/>
    </row>
    <row r="220" ht="9.75" customHeight="1" hidden="1">
      <c r="FU220" s="10"/>
    </row>
    <row r="221" ht="9.75" customHeight="1" hidden="1">
      <c r="FU221" s="43"/>
    </row>
    <row r="222" ht="9.75" customHeight="1" hidden="1">
      <c r="FU222" s="10"/>
    </row>
    <row r="223" ht="9.75" customHeight="1" hidden="1">
      <c r="FU223" s="10"/>
    </row>
    <row r="224" ht="9.75" customHeight="1" hidden="1">
      <c r="FU224" s="10"/>
    </row>
    <row r="225" ht="9.75" customHeight="1" hidden="1">
      <c r="FU225" s="10"/>
    </row>
    <row r="226" ht="9.75" customHeight="1" hidden="1">
      <c r="FU226" s="10"/>
    </row>
    <row r="227" ht="9.75" customHeight="1" hidden="1">
      <c r="FU227" s="43"/>
    </row>
    <row r="228" ht="9.75" customHeight="1" hidden="1">
      <c r="FU228" s="22"/>
    </row>
    <row r="229" ht="9.75" customHeight="1" hidden="1">
      <c r="FU229" s="22"/>
    </row>
    <row r="230" ht="9.75" customHeight="1" hidden="1">
      <c r="FU230" s="22"/>
    </row>
    <row r="231" ht="9.75" customHeight="1" hidden="1">
      <c r="FU231" s="22"/>
    </row>
    <row r="232" ht="9.75" customHeight="1" hidden="1">
      <c r="FU232" s="22"/>
    </row>
    <row r="233" ht="9.75" customHeight="1" hidden="1">
      <c r="FU233" s="43"/>
    </row>
    <row r="234" ht="9.75" customHeight="1" hidden="1">
      <c r="FU234" s="43"/>
    </row>
    <row r="235" ht="9.75" customHeight="1" hidden="1">
      <c r="FU235" s="22"/>
    </row>
    <row r="236" ht="9.75" customHeight="1" hidden="1">
      <c r="FU236" s="22"/>
    </row>
    <row r="237" ht="9.75" customHeight="1" hidden="1">
      <c r="FU237" s="43"/>
    </row>
    <row r="238" ht="9.75" customHeight="1" hidden="1">
      <c r="FU238" s="10"/>
    </row>
    <row r="239" ht="9.75" customHeight="1" hidden="1">
      <c r="FU239" s="10"/>
    </row>
    <row r="240" ht="9.75" customHeight="1" hidden="1">
      <c r="FU240" s="10"/>
    </row>
    <row r="241" ht="9.75" customHeight="1" hidden="1">
      <c r="FU241" s="10"/>
    </row>
    <row r="242" ht="9.75" customHeight="1" hidden="1">
      <c r="FU242" s="10"/>
    </row>
  </sheetData>
  <sheetProtection password="D9C1" sheet="1"/>
  <mergeCells count="25">
    <mergeCell ref="G23:N23"/>
    <mergeCell ref="AJ32:AK32"/>
    <mergeCell ref="S7:T7"/>
    <mergeCell ref="S8:T8"/>
    <mergeCell ref="S9:T9"/>
    <mergeCell ref="S10:T10"/>
    <mergeCell ref="S21:T21"/>
    <mergeCell ref="S20:T20"/>
    <mergeCell ref="S19:T19"/>
    <mergeCell ref="S11:T11"/>
    <mergeCell ref="S12:T12"/>
    <mergeCell ref="S13:T13"/>
    <mergeCell ref="U2:W2"/>
    <mergeCell ref="S2:T2"/>
    <mergeCell ref="S3:T3"/>
    <mergeCell ref="S4:T4"/>
    <mergeCell ref="S5:T5"/>
    <mergeCell ref="S6:T6"/>
    <mergeCell ref="T24:W24"/>
    <mergeCell ref="S16:T16"/>
    <mergeCell ref="S18:T18"/>
    <mergeCell ref="S22:T22"/>
    <mergeCell ref="S14:T14"/>
    <mergeCell ref="S15:T15"/>
    <mergeCell ref="S17:T17"/>
  </mergeCells>
  <conditionalFormatting sqref="AA23 AA25:AA26 X3:AC3 X22:AB22 X4:AB18 AC4:AC22">
    <cfRule type="cellIs" priority="155" dxfId="15" operator="equal" stopIfTrue="1">
      <formula>0</formula>
    </cfRule>
  </conditionalFormatting>
  <conditionalFormatting sqref="AE24:AE25">
    <cfRule type="cellIs" priority="156" dxfId="64" operator="equal" stopIfTrue="1">
      <formula>"0,0"</formula>
    </cfRule>
  </conditionalFormatting>
  <conditionalFormatting sqref="S3:S18 S22">
    <cfRule type="cellIs" priority="157" dxfId="19" operator="equal" stopIfTrue="1">
      <formula>"n/a"</formula>
    </cfRule>
  </conditionalFormatting>
  <conditionalFormatting sqref="T23:Z23 AE3:AE22">
    <cfRule type="cellIs" priority="158" dxfId="0" operator="equal" stopIfTrue="1">
      <formula>0</formula>
    </cfRule>
  </conditionalFormatting>
  <conditionalFormatting sqref="U3:W18 U22:W22">
    <cfRule type="cellIs" priority="159" dxfId="18" operator="lessThanOrEqual" stopIfTrue="1">
      <formula>-1</formula>
    </cfRule>
  </conditionalFormatting>
  <conditionalFormatting sqref="AD3:AD18 AD22">
    <cfRule type="cellIs" priority="162" dxfId="17" operator="equal" stopIfTrue="1">
      <formula>"MVP"</formula>
    </cfRule>
    <cfRule type="cellIs" priority="163" dxfId="0" operator="equal" stopIfTrue="1">
      <formula>AE3</formula>
    </cfRule>
  </conditionalFormatting>
  <conditionalFormatting sqref="O28:Q28 O3:Q18 O22:Q22">
    <cfRule type="cellIs" priority="166" dxfId="15" operator="equal" stopIfTrue="1">
      <formula>0</formula>
    </cfRule>
    <cfRule type="cellIs" priority="167" dxfId="14" operator="equal" stopIfTrue="1">
      <formula>"Player type quantity surpassed"</formula>
    </cfRule>
  </conditionalFormatting>
  <conditionalFormatting sqref="AI3:AI14">
    <cfRule type="cellIs" priority="183" dxfId="2" operator="greaterThan" stopIfTrue="1">
      <formula>AY4</formula>
    </cfRule>
    <cfRule type="cellIs" priority="184" dxfId="0" operator="equal" stopIfTrue="1">
      <formula>0</formula>
    </cfRule>
  </conditionalFormatting>
  <conditionalFormatting sqref="R3:R22">
    <cfRule type="cellIs" priority="59" dxfId="13" operator="equal" stopIfTrue="1">
      <formula>"This player cannot be a keeper"</formula>
    </cfRule>
  </conditionalFormatting>
  <conditionalFormatting sqref="O3:R3 O22:Q22 O4:Q18 R4:R22">
    <cfRule type="containsText" priority="56" dxfId="13" operator="containsText" stopIfTrue="1" text="Need More Troopers">
      <formula>NOT(ISERROR(SEARCH("Need More Troopers",O3)))</formula>
    </cfRule>
  </conditionalFormatting>
  <conditionalFormatting sqref="AI15">
    <cfRule type="cellIs" priority="198" dxfId="2" operator="greaterThan" stopIfTrue="1">
      <formula>AY17</formula>
    </cfRule>
    <cfRule type="cellIs" priority="199" dxfId="0" operator="equal" stopIfTrue="1">
      <formula>0</formula>
    </cfRule>
  </conditionalFormatting>
  <conditionalFormatting sqref="AI16">
    <cfRule type="cellIs" priority="54" dxfId="2" operator="greaterThan" stopIfTrue="1">
      <formula>AY17</formula>
    </cfRule>
    <cfRule type="cellIs" priority="55" dxfId="0" operator="equal" stopIfTrue="1">
      <formula>0</formula>
    </cfRule>
  </conditionalFormatting>
  <conditionalFormatting sqref="AI22">
    <cfRule type="cellIs" priority="200" dxfId="2" operator="greaterThan" stopIfTrue="1">
      <formula>AY24</formula>
    </cfRule>
    <cfRule type="cellIs" priority="201" dxfId="0" operator="equal" stopIfTrue="1">
      <formula>0</formula>
    </cfRule>
  </conditionalFormatting>
  <conditionalFormatting sqref="AI16">
    <cfRule type="cellIs" priority="204" dxfId="2" operator="greaterThan" stopIfTrue="1">
      <formula>AY23</formula>
    </cfRule>
    <cfRule type="cellIs" priority="205" dxfId="0" operator="equal" stopIfTrue="1">
      <formula>0</formula>
    </cfRule>
  </conditionalFormatting>
  <conditionalFormatting sqref="AI18">
    <cfRule type="cellIs" priority="206" dxfId="2" operator="greaterThan" stopIfTrue="1">
      <formula>AY22</formula>
    </cfRule>
    <cfRule type="cellIs" priority="207" dxfId="0" operator="equal" stopIfTrue="1">
      <formula>0</formula>
    </cfRule>
  </conditionalFormatting>
  <conditionalFormatting sqref="AI17:AI18">
    <cfRule type="cellIs" priority="214" dxfId="2" operator="greaterThan" stopIfTrue="1">
      <formula>AY23</formula>
    </cfRule>
    <cfRule type="cellIs" priority="215" dxfId="0" operator="equal" stopIfTrue="1">
      <formula>0</formula>
    </cfRule>
  </conditionalFormatting>
  <conditionalFormatting sqref="X21:AB21">
    <cfRule type="cellIs" priority="36" dxfId="15" operator="equal" stopIfTrue="1">
      <formula>0</formula>
    </cfRule>
  </conditionalFormatting>
  <conditionalFormatting sqref="S21">
    <cfRule type="cellIs" priority="37" dxfId="19" operator="equal" stopIfTrue="1">
      <formula>"n/a"</formula>
    </cfRule>
  </conditionalFormatting>
  <conditionalFormatting sqref="U21:W21">
    <cfRule type="cellIs" priority="39" dxfId="18" operator="lessThanOrEqual" stopIfTrue="1">
      <formula>-1</formula>
    </cfRule>
  </conditionalFormatting>
  <conditionalFormatting sqref="AD21">
    <cfRule type="cellIs" priority="40" dxfId="17" operator="equal" stopIfTrue="1">
      <formula>"MVP"</formula>
    </cfRule>
    <cfRule type="cellIs" priority="41" dxfId="0" operator="equal" stopIfTrue="1">
      <formula>AE21</formula>
    </cfRule>
  </conditionalFormatting>
  <conditionalFormatting sqref="O21:Q21">
    <cfRule type="cellIs" priority="42" dxfId="15" operator="equal" stopIfTrue="1">
      <formula>0</formula>
    </cfRule>
    <cfRule type="cellIs" priority="43" dxfId="14" operator="equal" stopIfTrue="1">
      <formula>"Player type quantity surpassed"</formula>
    </cfRule>
  </conditionalFormatting>
  <conditionalFormatting sqref="O21:Q21">
    <cfRule type="containsText" priority="34" dxfId="13" operator="containsText" stopIfTrue="1" text="Need More Troopers">
      <formula>NOT(ISERROR(SEARCH("Need More Troopers",O21)))</formula>
    </cfRule>
  </conditionalFormatting>
  <conditionalFormatting sqref="AI21">
    <cfRule type="cellIs" priority="46" dxfId="2" operator="greaterThan" stopIfTrue="1">
      <formula>AY24</formula>
    </cfRule>
    <cfRule type="cellIs" priority="47" dxfId="0" operator="equal" stopIfTrue="1">
      <formula>0</formula>
    </cfRule>
  </conditionalFormatting>
  <conditionalFormatting sqref="X20:AB20">
    <cfRule type="cellIs" priority="20" dxfId="15" operator="equal" stopIfTrue="1">
      <formula>0</formula>
    </cfRule>
  </conditionalFormatting>
  <conditionalFormatting sqref="S20">
    <cfRule type="cellIs" priority="21" dxfId="19" operator="equal" stopIfTrue="1">
      <formula>"n/a"</formula>
    </cfRule>
  </conditionalFormatting>
  <conditionalFormatting sqref="U20:W20">
    <cfRule type="cellIs" priority="23" dxfId="18" operator="lessThanOrEqual" stopIfTrue="1">
      <formula>-1</formula>
    </cfRule>
  </conditionalFormatting>
  <conditionalFormatting sqref="AD20">
    <cfRule type="cellIs" priority="24" dxfId="17" operator="equal" stopIfTrue="1">
      <formula>"MVP"</formula>
    </cfRule>
    <cfRule type="cellIs" priority="25" dxfId="0" operator="equal" stopIfTrue="1">
      <formula>AE20</formula>
    </cfRule>
  </conditionalFormatting>
  <conditionalFormatting sqref="O20:Q20">
    <cfRule type="cellIs" priority="26" dxfId="15" operator="equal" stopIfTrue="1">
      <formula>0</formula>
    </cfRule>
    <cfRule type="cellIs" priority="27" dxfId="14" operator="equal" stopIfTrue="1">
      <formula>"Player type quantity surpassed"</formula>
    </cfRule>
  </conditionalFormatting>
  <conditionalFormatting sqref="O20:Q20">
    <cfRule type="containsText" priority="18" dxfId="13" operator="containsText" stopIfTrue="1" text="Need More Troopers">
      <formula>NOT(ISERROR(SEARCH("Need More Troopers",O20)))</formula>
    </cfRule>
  </conditionalFormatting>
  <conditionalFormatting sqref="AI20">
    <cfRule type="cellIs" priority="32" dxfId="2" operator="greaterThan" stopIfTrue="1">
      <formula>AY25</formula>
    </cfRule>
    <cfRule type="cellIs" priority="33" dxfId="0" operator="equal" stopIfTrue="1">
      <formula>0</formula>
    </cfRule>
  </conditionalFormatting>
  <conditionalFormatting sqref="X19:AB19">
    <cfRule type="cellIs" priority="4" dxfId="15" operator="equal" stopIfTrue="1">
      <formula>0</formula>
    </cfRule>
  </conditionalFormatting>
  <conditionalFormatting sqref="S19">
    <cfRule type="cellIs" priority="5" dxfId="19" operator="equal" stopIfTrue="1">
      <formula>"n/a"</formula>
    </cfRule>
  </conditionalFormatting>
  <conditionalFormatting sqref="U19:W19">
    <cfRule type="cellIs" priority="7" dxfId="18" operator="lessThanOrEqual" stopIfTrue="1">
      <formula>-1</formula>
    </cfRule>
  </conditionalFormatting>
  <conditionalFormatting sqref="AD19">
    <cfRule type="cellIs" priority="8" dxfId="17" operator="equal" stopIfTrue="1">
      <formula>"MVP"</formula>
    </cfRule>
    <cfRule type="cellIs" priority="9" dxfId="0" operator="equal" stopIfTrue="1">
      <formula>AE19</formula>
    </cfRule>
  </conditionalFormatting>
  <conditionalFormatting sqref="O19:Q19">
    <cfRule type="cellIs" priority="10" dxfId="15" operator="equal" stopIfTrue="1">
      <formula>0</formula>
    </cfRule>
    <cfRule type="cellIs" priority="11" dxfId="14" operator="equal" stopIfTrue="1">
      <formula>"Player type quantity surpassed"</formula>
    </cfRule>
  </conditionalFormatting>
  <conditionalFormatting sqref="O19:Q19">
    <cfRule type="containsText" priority="2" dxfId="13" operator="containsText" stopIfTrue="1" text="Need More Troopers">
      <formula>NOT(ISERROR(SEARCH("Need More Troopers",O19)))</formula>
    </cfRule>
  </conditionalFormatting>
  <conditionalFormatting sqref="AI19">
    <cfRule type="cellIs" priority="12" dxfId="2" operator="greaterThan" stopIfTrue="1">
      <formula>AY25</formula>
    </cfRule>
    <cfRule type="cellIs" priority="13" dxfId="0" operator="equal" stopIfTrue="1">
      <formula>0</formula>
    </cfRule>
  </conditionalFormatting>
  <conditionalFormatting sqref="AI19">
    <cfRule type="cellIs" priority="14" dxfId="2" operator="greaterThan" stopIfTrue="1">
      <formula>AY23</formula>
    </cfRule>
    <cfRule type="cellIs" priority="15" dxfId="0" operator="equal" stopIfTrue="1">
      <formula>0</formula>
    </cfRule>
  </conditionalFormatting>
  <conditionalFormatting sqref="AI19">
    <cfRule type="cellIs" priority="16" dxfId="2" operator="greaterThan" stopIfTrue="1">
      <formula>AY24</formula>
    </cfRule>
    <cfRule type="cellIs" priority="17" dxfId="0" operator="equal" stopIfTrue="1">
      <formula>0</formula>
    </cfRule>
  </conditionalFormatting>
  <conditionalFormatting sqref="AI18 AI20:AI21">
    <cfRule type="cellIs" priority="220" dxfId="2" operator="greaterThan" stopIfTrue="1">
      <formula>'Sheet 1'!#REF!</formula>
    </cfRule>
    <cfRule type="cellIs" priority="221" dxfId="0" operator="equal" stopIfTrue="1">
      <formula>0</formula>
    </cfRule>
  </conditionalFormatting>
  <conditionalFormatting sqref="AI20">
    <cfRule type="cellIs" priority="222" dxfId="2" operator="greaterThan" stopIfTrue="1">
      <formula>'Sheet 1'!#REF!</formula>
    </cfRule>
    <cfRule type="cellIs" priority="223" dxfId="0" operator="equal" stopIfTrue="1">
      <formula>0</formula>
    </cfRule>
  </conditionalFormatting>
  <conditionalFormatting sqref="AI21">
    <cfRule type="cellIs" priority="224" dxfId="2" operator="greaterThan" stopIfTrue="1">
      <formula>'Sheet 1'!#REF!</formula>
    </cfRule>
    <cfRule type="cellIs" priority="225" dxfId="0" operator="equal" stopIfTrue="1">
      <formula>0</formula>
    </cfRule>
  </conditionalFormatting>
  <conditionalFormatting sqref="AE23">
    <cfRule type="cellIs" priority="1" dxfId="0" operator="equal" stopIfTrue="1">
      <formula>0</formula>
    </cfRule>
  </conditionalFormatting>
  <dataValidations count="1">
    <dataValidation operator="equal" allowBlank="1" showInputMessage="1" showErrorMessage="1" sqref="AF29:AF42"/>
  </dataValidations>
  <printOptions horizontalCentered="1" verticalCentered="1"/>
  <pageMargins left="0.63" right="0.39" top="0.7874015748031497" bottom="0.7874015748031497" header="0.13" footer="0"/>
  <pageSetup fitToHeight="0" fitToWidth="1" horizontalDpi="300" verticalDpi="300" orientation="landscape" paperSize="9" scale="83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Dreadball Roster</dc:title>
  <dc:subject/>
  <dc:creator>Liam Hall</dc:creator>
  <cp:keywords/>
  <dc:description/>
  <cp:lastModifiedBy>vinceb</cp:lastModifiedBy>
  <cp:lastPrinted>2008-07-09T10:49:50Z</cp:lastPrinted>
  <dcterms:created xsi:type="dcterms:W3CDTF">2001-02-12T07:17:33Z</dcterms:created>
  <dcterms:modified xsi:type="dcterms:W3CDTF">2013-12-10T12:32:58Z</dcterms:modified>
  <cp:category/>
  <cp:version/>
  <cp:contentType/>
  <cp:contentStatus/>
</cp:coreProperties>
</file>